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ВАСИЛЬЕВА\Раскрытие\2025\Архангельск\"/>
    </mc:Choice>
  </mc:AlternateContent>
  <bookViews>
    <workbookView xWindow="0" yWindow="0" windowWidth="11355" windowHeight="11760" tabRatio="852" firstSheet="3" activeTab="32"/>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ТС. Т-подкл(инд)" sheetId="21" state="hidden" r:id="rId21"/>
    <sheet name="ХВС. Т-пит" sheetId="22" state="hidden" r:id="rId22"/>
    <sheet name="ХВС. Т-тех" sheetId="23" state="hidden" r:id="rId23"/>
    <sheet name="ХВС. Т-транс" sheetId="24" state="hidden" r:id="rId24"/>
    <sheet name="ХВС. Т-подвоз"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r:id="rId33"/>
    <sheet name="Показатели ФХД &gt;20%" sheetId="34"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r:id="rId39"/>
    <sheet name="Ограничения" sheetId="40" state="hidden" r:id="rId40"/>
    <sheet name="ИП" sheetId="41" r:id="rId41"/>
    <sheet name="ИП. Детализация" sheetId="42" r:id="rId42"/>
    <sheet name="ИП. Финансовый план" sheetId="43" state="hidden" r:id="rId43"/>
    <sheet name="ИП. КНЭ" sheetId="44"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ФХД'!$Q$90</definedName>
    <definedName name="B_FHD_CHECK_INDEX_2">'Показатели ФХД'!$Q$92</definedName>
    <definedName name="B_FHD_COSTS_INDEX_1">'Показатели ФХД'!$H$89:$O$89</definedName>
    <definedName name="B_FHD_COSTS_INDEX_2">'Показатели ФХД'!$H$91:$O$91</definedName>
    <definedName name="B_FHD_DATA_TOP80_ACTIVITY">'Показатели ФХД'!$H$106:$O$106</definedName>
    <definedName name="B_FHD_diff_1">'Показатели ФХД'!$I$25:$I$27</definedName>
    <definedName name="B_FHD_diff_5">'Показатели ФХД'!$J$25:$J$27</definedName>
    <definedName name="B_FHD_diff_51">'Показатели ФХД'!$K$25:$K$27</definedName>
    <definedName name="B_FHD_diff_511">'Показатели ФХД'!$L$25:$L$27</definedName>
    <definedName name="B_FHD_diff_51111">'Показатели ФХД'!$M$25:$M$27</definedName>
    <definedName name="B_FHD_diff_511111">'Показатели ФХД'!$N$25:$N$27</definedName>
    <definedName name="B_FHD_FLAG_DIFFERENTIATION">'Показатели ФХД'!$H$24:$O$24</definedName>
    <definedName name="B_FHD_FLAG_INDEX_1">'Показатели ФХД'!$H$90:$O$90</definedName>
    <definedName name="B_FHD_FLAG_INDEX_2">'Показатели ФХД'!$H$92:$O$92</definedName>
    <definedName name="B_FHD_TKO_DATA_TOP80_ACTIVITY">'ТКО. Показатели ФХД'!$H$45:$O$45</definedName>
    <definedName name="B_FHD_TKO_diff_1">'ТКО. Показатели ФХД'!$I$10:$I$12</definedName>
    <definedName name="B_FHD_TKO_diff_5">'ТКО. Показатели ФХД'!$J$10:$J$12</definedName>
    <definedName name="B_FHD_TKO_diff_51">'ТКО. Показатели ФХД'!$K$10:$K$12</definedName>
    <definedName name="B_FHD_TKO_diff_511">'ТКО. Показатели ФХД'!$L$10:$L$12</definedName>
    <definedName name="B_FHD_TKO_diff_51111">'ТКО. Показатели ФХД'!$M$10:$M$12</definedName>
    <definedName name="B_FHD_TKO_diff_511111">'ТКО. Показатели ФХД'!$N$10:$N$12</definedName>
    <definedName name="B_FHD_TKO_FLAG_DIFFERENTIATION">'ТКО. Показатели ФХД'!$H$9:$O$9</definedName>
    <definedName name="B_FHD_TKO_TRANS_DATA_TOP80_ACTIVITY">'ТКО. Транс. Показатели ФХД'!$H$36:$O$36</definedName>
    <definedName name="B_FHD_TKO_TRANS_diff_1">'ТКО. Транс. Показатели ФХД'!$I$10:$I$12</definedName>
    <definedName name="B_FHD_TKO_TRANS_diff_5">'ТКО. Транс. Показатели ФХД'!$J$10:$J$12</definedName>
    <definedName name="B_FHD_TKO_TRANS_diff_51">'ТКО. Транс. Показатели ФХД'!$K$10:$K$12</definedName>
    <definedName name="B_FHD_TKO_TRANS_diff_511">'ТКО. Транс. Показатели ФХД'!$L$10:$L$12</definedName>
    <definedName name="B_FHD_TKO_TRANS_diff_51111">'ТКО. Транс. Показатели ФХД'!$M$10:$M$12</definedName>
    <definedName name="B_FHD_TKO_TRANS_diff_511111">'ТКО. Транс. Показатели ФХД'!$N$10:$N$12</definedName>
    <definedName name="B_FHD_TKO_TRANS_FLAG_DIFFERENTIATION">'ТКО. Транс. Показатели ФХД'!$H$9:$O$9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&gt;20%'!$D$13:$S$192</definedName>
    <definedName name="B_FHD20_COSTS_OPS_diff_1">'Показатели ФХД &gt;20%'!$Q$17</definedName>
    <definedName name="B_FHD20_COSTS_PH_diff_1">'Показатели ФХД &gt;20%'!$Q$54</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diff_5">'Показатели ФХД &gt;20%'!$H$57:$R$59</definedName>
    <definedName name="B_FHD20_diff_51">'Показатели ФХД &gt;20%'!$H$66:$R$68</definedName>
    <definedName name="B_FHD20_diff_511">'Показатели ФХД &gt;20%'!$H$103:$R$105</definedName>
    <definedName name="B_FHD20_diff_51111">'Показатели ФХД &gt;20%'!$H$112:$R$114</definedName>
    <definedName name="B_FHD20_diff_511111">'Показатели ФХД &gt;20%'!$H$137:$R$139</definedName>
    <definedName name="B_FHD20_FLAG_FHD">'Показатели ФХД &gt;20%'!$V$11:$V$192</definedName>
    <definedName name="B_FHD20_NUMBER_COLUMN_MARKER">'Показатели ФХД &gt;20%'!$D$8</definedName>
    <definedName name="B_FHD20_PART_COLUMN_MARKER">'Показатели ФХД &gt;20%'!$R$8</definedName>
    <definedName name="B_KNE_diff_1">'Показатели КНЭ'!$I$7:$J$9</definedName>
    <definedName name="B_KNE_diff_5">'Показатели КНЭ'!$K$7:$L$9</definedName>
    <definedName name="B_KNE_diff_51">'Показатели КНЭ'!$M$7:$N$9</definedName>
    <definedName name="B_KNE_diff_511">'Показатели КНЭ'!$O$7:$P$9</definedName>
    <definedName name="B_KNE_diff_51111">'Показатели КНЭ'!$Q$7:$R$9</definedName>
    <definedName name="B_KNE_diff_511111">'Показатели КНЭ'!$S$7:$T$9</definedName>
    <definedName name="B_OTEP_diff_1">'Показатели ОТЭП'!$L$10:$L$12</definedName>
    <definedName name="B_OTEP_diff_5">'Показатели ОТЭП'!$N$10:$N$12</definedName>
    <definedName name="B_OTEP_diff_51">'Показатели ОТЭП'!$O$10:$O$12</definedName>
    <definedName name="B_OTEP_diff_511">'Показатели ОТЭП'!$P$10:$P$12</definedName>
    <definedName name="B_OTEP_diff_51111">'Показатели ОТЭП'!$Q$10:$Q$12</definedName>
    <definedName name="B_OTEP_diff_511111">'Показатели ОТЭП'!$R$10:$R$12</definedName>
    <definedName name="B_OTEP_FLAG_DIFFERENTIATION">'Показатели ОТЭП'!$L$9:$T$9</definedName>
    <definedName name="B_OTEP_HEAT_DATA_TOP80_ACTIVITY">'Показатели ОТЭП'!$L$15:$T$15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ФХД'!$107:$115</definedName>
    <definedName name="BLOCK_POK_FHD_COLDVSNA_P2">'Показатели ФХД'!$146:$150</definedName>
    <definedName name="BLOCK_POK_FHD_HEAT_ONLY_REG_ORG_P1">'Показатели ФХД'!$80:$81</definedName>
    <definedName name="BLOCK_POK_FHD_HEAT_ONLY_REG_ORG_P2">'Показатели ФХД'!$105:$174</definedName>
    <definedName name="BLOCK_POK_FHD_HEAT_P1">'Показатели ФХД'!$33:$64</definedName>
    <definedName name="BLOCK_POK_FHD_HEAT_P2">'Показатели ФХД'!$97:$97</definedName>
    <definedName name="BLOCK_POK_FHD_HEAT_P3">'Показатели ФХД'!$124:$142</definedName>
    <definedName name="BLOCK_POK_FHD_HEAT_P4">'Показатели ФХД'!$144:$144</definedName>
    <definedName name="BLOCK_POK_FHD_HEAT_P5">'Показатели ФХД'!$151:$173</definedName>
    <definedName name="BLOCK_POK_FHD_HEAT_P6">'Показатели ФХД'!$71:$71</definedName>
    <definedName name="BLOCK_POK_FHD_HOTVSNA_P1">'Показатели ФХД'!$65:$67</definedName>
    <definedName name="BLOCK_POK_FHD_HOTVSNA_P2">'Показатели ФХД'!$116:$120</definedName>
    <definedName name="BLOCK_POK_FHD_NOT_HEAT_P1">'Показатели ФХД'!$91:$92</definedName>
    <definedName name="BLOCK_POK_FHD_NOT_HEAT_P2">'Показатели ФХД'!$105:$105</definedName>
    <definedName name="BLOCK_POK_FHD_NOT_HOTVSNA">'Показатели ФХД'!$72:$72</definedName>
    <definedName name="BLOCK_POK_FHD_VOTV_P1">'Показатели ФХД'!$121:$123</definedName>
    <definedName name="BLOCK_POK_FHD_VSNA">'Показатели ФХД'!$145:$145</definedName>
    <definedName name="BLOCK_POK_FHD20_NOT_HEAT">'Показатели ФХД &gt;20%'!$54:$56</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RICE_TYPE">Титульный!$16:$16</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территорий'!$E$20:$I$20</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REESTR_DS!$B$2:$B$3</definedName>
    <definedName name="DIFFERENTIATION_AREA">Дифференциация!$I$12:$I$29</definedName>
    <definedName name="DIFFERENTIATION_AREA_ID">Дифференциация!$U$11:$U$30</definedName>
    <definedName name="DIFFERENTIATION_CheckC">Дифференциация!$D$12:$M$29</definedName>
    <definedName name="DIFFERENTIATION_fieldMarker">Дифференциация!$W$12:$W$29</definedName>
    <definedName name="DIFFERENTIATION_ID">TEHSHEET!$E$57</definedName>
    <definedName name="DIFFERENTIATION_ID_DIFF">Дифференциация!$O$12:$O$29</definedName>
    <definedName name="DIFFERENTIATION_SYSTEM">Дифференциация!$M$12:$M$29</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Дифференциация!$Q$12:$Q$29</definedName>
    <definedName name="DIFFERENTIATION_UNMERGE_SYSTEM">Дифференциация!$R$12:$R$29</definedName>
    <definedName name="DIFFERENTIATION_UNMERGE_VD">Дифференциация!$P$12:$P$29</definedName>
    <definedName name="DIFFERENTIATION_VD">Дифференциация!$E$12:$E$29</definedName>
    <definedName name="DIFFERENTIATION_VD_ID">Дифференциация!$V$11:$V$30</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Ограничения!$F$36:$U$36</definedName>
    <definedName name="flag_Q_LIMIT_p4">Ограничения!$F$38:$U$38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p_5">'ИП. Детализация'!$14:$140</definedName>
    <definedName name="IP_DETAILED_IST_FIN_FACT_COLUMN_MARKER">'ИП. Детализация'!$AD$7</definedName>
    <definedName name="IP_DETAILED_LIST_IP_ID">'ИП. Детализация'!$A$141:$A$141</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ip_5">'ИП. Финансовый план'!$K$11:$Y$11</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ИП!$I$11:$I$15</definedName>
    <definedName name="IP_MAIN_CHANGE_DATE">ИП!$J$11:$J$15</definedName>
    <definedName name="IP_MAIN_CLAIM">ИП!$K$11:$K$15</definedName>
    <definedName name="IP_MAIN_DATE_PARKING">ИП!$L$5</definedName>
    <definedName name="IP_MAIN_DELETE_HL_COLUMN_MARKER">ИП!$E$7</definedName>
    <definedName name="IP_MAIN_DIFFERENTIATION_EVENTS_FLAG">ИП!$H$11:$H$15</definedName>
    <definedName name="IP_MAIN_END_DATE">ИП!$O$11:$O$15</definedName>
    <definedName name="IP_MAIN_FLAG_KS">ИП!$Y$11:$Y$15</definedName>
    <definedName name="IP_MAIN_FLAG_KS_COLUMN_MARKER">ИП!$Y$7</definedName>
    <definedName name="IP_MAIN_ip_5">ИП!$13:$14</definedName>
    <definedName name="IP_MAIN_IP_FIN_PLAN_VISIBLE_FLAG">ИП!$H$17</definedName>
    <definedName name="IP_MAIN_LIST_IP_ID">ИП!$AD$11:$AD$15</definedName>
    <definedName name="IP_MAIN_LIST_NAME_IP">ИП!$G$11:$G$15</definedName>
    <definedName name="IP_MAIN_PERIOD_REALIZ_DATE">ИП!$P$11:$P$15</definedName>
    <definedName name="IP_MAIN_PR_IP_CHANGE_DATE">ИП!$X$11:$X$15</definedName>
    <definedName name="IP_MAIN_PR_IP_DATE">ИП!$T$11:$T$15</definedName>
    <definedName name="IP_MAIN_PR_IP_NAME">ИП!$Q$11:$Q$15</definedName>
    <definedName name="IP_MAIN_PR_IP_NUMBER">ИП!$S$11:$S$15</definedName>
    <definedName name="IP_MAIN_PR_IP_TYPE">ИП!$R$11:$R$15</definedName>
    <definedName name="IP_MAIN_START_DATE">ИП!$N$11:$N$15</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ip_5">'ИП. КНЭ'!$21:$28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Print">TEHSHEET!$D$6</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type_price">TEHSHEET!$F$10:$F$12</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Дифференциация!$G$12:$G$29</definedName>
    <definedName name="pDel_DIFFERENTIATION_SYSTEM">Дифференциация!$K$12:$K$29</definedName>
    <definedName name="pDel_DIFFERENTIATION_VD">Дифференциация!$C$12:$C$29</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ИП!$E$11:$E$15</definedName>
    <definedName name="pDel_IP_MAIN_PROPERTY">ИП!$Z$11:$Z$15</definedName>
    <definedName name="pDel_IP_QRE_CLAIM">'ИП. КНЭ'!$E$18:$E$20</definedName>
    <definedName name="pDel_List07">'Сведения об изменении'!$C$11:$C$13</definedName>
    <definedName name="pDel_LT_AREA">'Список территорий'!$C$12:$C$20</definedName>
    <definedName name="pDel_LT_MO">'Список территорий'!$D$11:$D$20</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ФХД'!$F$64</definedName>
    <definedName name="pIns_B_FHD_2">'Показатели ФХД'!$F$96</definedName>
    <definedName name="pIns_B_FHD_3">'Показатели ФХД'!$F$132</definedName>
    <definedName name="pIns_B_FHD_4">'Показатели ФХД'!$F$150</definedName>
    <definedName name="pIns_B_FHD_5">'Показатели ФХД'!$F$159</definedName>
    <definedName name="pIns_B_FHD_6">'Показатели ФХД'!$F$168</definedName>
    <definedName name="pIns_B_FHD_DIFFERENTIATION">'Показатели ФХД'!$O$24</definedName>
    <definedName name="pIns_B_FHD_TKO_2">'ТКО. Показатели ФХД'!$F$34</definedName>
    <definedName name="pIns_B_FHD_TKO_DIFFERENTIATION">'ТКО. Показатели ФХД'!$O$9</definedName>
    <definedName name="pIns_B_FHD_TKO_TRANS_2">'ТКО. Транс. Показатели ФХД'!$F$29</definedName>
    <definedName name="pIns_B_FHD_TKO_TRANS_DIFFERENTIATION">'ТКО. Транс. Показатели ФХД'!$O$9</definedName>
    <definedName name="pIns_B_FHD20_DIFFERENTIATION">'Показатели ФХД &gt;20%'!$D$192</definedName>
    <definedName name="pIns_B_KNE_DIFFERENTIATION">'Показатели КНЭ'!$U$6</definedName>
    <definedName name="pIns_B_OTEP_2">'Показатели ОТЭП'!$J$18</definedName>
    <definedName name="pIns_B_OTEP_DIFFERENTIATION">'Показатели ОТЭП'!$S$9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Детализация'!$F$141</definedName>
    <definedName name="pIns_IP_FIN_PLAN">'ИП. Финансовый план'!$Z$8</definedName>
    <definedName name="pIns_IP_MAIN">ИП!$G$15</definedName>
    <definedName name="pIns_IP_QRE">'ИП. КНЭ'!$F$29</definedName>
    <definedName name="pIns_List07">'Сведения об изменении'!$E$13</definedName>
    <definedName name="pIns_LT_AREA">'Список территорий'!$G$20</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Ограничения!$U$25</definedName>
    <definedName name="pIns_Q_PH_DIFFERENTIATION">'Потребительские характеристики'!$U$8</definedName>
    <definedName name="pIns_Q_TP_1">ТП!$E$22</definedName>
    <definedName name="pIns_Q_TP_DIFFERENTIATION">ТП!$N$8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Ограничения!$U$26</definedName>
    <definedName name="pNote_Q_PH">'Потребительские характеристики'!$U$9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Ограничения!$E$32:$U$39</definedName>
    <definedName name="Q_LIMIT_diff_1">Ограничения!$I$26:$J$28</definedName>
    <definedName name="Q_Limit_diff_5">Ограничения!$K$26:$L$28</definedName>
    <definedName name="Q_Limit_diff_51">Ограничения!$M$26:$N$28</definedName>
    <definedName name="Q_Limit_diff_511">Ограничения!$O$26:$P$28</definedName>
    <definedName name="Q_Limit_diff_51111">Ограничения!$Q$26:$R$28</definedName>
    <definedName name="Q_Limit_diff_511111">Ограничения!$S$26:$T$28</definedName>
    <definedName name="Q_LIMIT_p3">Ограничения!$F$36:$U$37</definedName>
    <definedName name="Q_LIMIT_p4">Ограничения!$F$38:$U$39</definedName>
    <definedName name="Q_PH_diff_1">'Потребительские характеристики'!$I$9:$J$11</definedName>
    <definedName name="Q_PH_diff_5">'Потребительские характеристики'!$K$9:$L$11</definedName>
    <definedName name="Q_PH_diff_51">'Потребительские характеристики'!$M$9:$N$11</definedName>
    <definedName name="Q_PH_diff_511">'Потребительские характеристики'!$O$9:$P$11</definedName>
    <definedName name="Q_PH_diff_51111">'Потребительские характеристики'!$Q$9:$R$11</definedName>
    <definedName name="Q_PH_diff_511111">'Потребительские характеристики'!$S$9:$T$11</definedName>
    <definedName name="Q_TP_COUNT_REFUSAL">ТП!$H$17:$H$17</definedName>
    <definedName name="Q_TP_diff_1">ТП!$H$9:$H$11</definedName>
    <definedName name="Q_TP_diff_5">ТП!$I$9:$I$11</definedName>
    <definedName name="Q_TP_diff_51">ТП!$J$9:$J$11</definedName>
    <definedName name="Q_TP_diff_511">ТП!$K$9:$K$11</definedName>
    <definedName name="Q_TP_diff_51111">ТП!$L$9:$L$11</definedName>
    <definedName name="Q_TP_diff_511111">ТП!$M$9:$M$11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REESTR_IP!$A$2:$I$9</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ФХД'!$O$174</definedName>
    <definedName name="tblEnd_1_B_FHD_TKO">'ТКО. Показатели ФХД'!$O$49</definedName>
    <definedName name="tblEnd_1_B_FHD_TKO_TRANS">'ТКО. Транс. Показатели ФХД'!$O$43</definedName>
    <definedName name="tblEnd_1_B_KNE">'Показатели КНЭ'!$J$101</definedName>
    <definedName name="tblEnd_1_B_OTEP">'Показатели ОТЭП'!$S$34</definedName>
    <definedName name="tblEnd_1_B_STANDARTS">'Стандарты качества'!$L$13</definedName>
    <definedName name="tblEnd_1_CHANGE_INFO">'Сведения об изменении'!$E$14</definedName>
    <definedName name="tblEnd_1_DIFFERENTIATION">Дифференциация!$M$30</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Детализация'!$AH$141</definedName>
    <definedName name="tblEnd_1_IP_FIN_PLAN">'ИП. Финансовый план'!$Z$58</definedName>
    <definedName name="tblEnd_1_IP_MAIN">ИП!$AB$16</definedName>
    <definedName name="tblEnd_1_IP_QRE">'ИП. КНЭ'!$FX$29</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Ограничения!$U$40</definedName>
    <definedName name="tblEnd_1_Q_PH">'Потребительские характеристики'!$U$21</definedName>
    <definedName name="tblEnd_1_Q_TP">ТП!$N$23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территорий'!$I$21</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территорий'!$G$13:$I$15</definedName>
    <definedName name="ter_5">'Список территорий'!$G$18:$I$18</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территорий'!$E$11:$I$20</definedName>
    <definedName name="TERRITORY_ID">TEHSHEET!$E$56</definedName>
    <definedName name="TERRITORY_LIST_ID">'Список территорий'!$F$11:$F$20</definedName>
    <definedName name="TERRITORY_MO_LIST">'Список территорий'!$H$11:$H$20</definedName>
    <definedName name="TERRITORY_MR_LIST">'Список территорий'!$G$11:$G$20</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PRICE_TYPE">Титульный!$F$16</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Дифференциация!$F$12:$F$29</definedName>
    <definedName name="Y_N_DIFFERENTIATION_SYSTEM">Дифференциация!$J$12:$J$29</definedName>
    <definedName name="YEAR_IP_LIST">TEHSHEET!$BE$2:$BE$74</definedName>
    <definedName name="year_list">TEHSHEET!$C$2:$C$6</definedName>
    <definedName name="year_list1">TEHSHEET!$B$2:$B$27</definedName>
  </definedNames>
  <calcPr calcId="162913"/>
</workbook>
</file>

<file path=xl/calcChain.xml><?xml version="1.0" encoding="utf-8"?>
<calcChain xmlns="http://schemas.openxmlformats.org/spreadsheetml/2006/main">
  <c r="Q32" i="33" l="1"/>
  <c r="Q33" i="33"/>
  <c r="Q31" i="33"/>
  <c r="Q69" i="33"/>
  <c r="Q70" i="33"/>
  <c r="Q71" i="33"/>
  <c r="Q72" i="33"/>
  <c r="Q73" i="33"/>
  <c r="Q74" i="33"/>
  <c r="Q75" i="33"/>
  <c r="Q76" i="33"/>
  <c r="Q77" i="33"/>
  <c r="Q78" i="33"/>
  <c r="Q79" i="33"/>
  <c r="Q80" i="33"/>
  <c r="Q81" i="33"/>
  <c r="Q82" i="33"/>
  <c r="Q83" i="33"/>
  <c r="Q84" i="33"/>
  <c r="Q85" i="33"/>
  <c r="Q86" i="33"/>
  <c r="Q87" i="33"/>
  <c r="Q88" i="33"/>
  <c r="Q89" i="33"/>
  <c r="Q90" i="33"/>
  <c r="Q91" i="33"/>
  <c r="Q92" i="33"/>
  <c r="Q93" i="33"/>
  <c r="Q94" i="33"/>
  <c r="Q95" i="33"/>
  <c r="Q96" i="33"/>
  <c r="Q97" i="33"/>
  <c r="Q98" i="33"/>
  <c r="Q99" i="33"/>
  <c r="Q100" i="33"/>
  <c r="Q101" i="33"/>
  <c r="Q102" i="33"/>
  <c r="Q103" i="33"/>
  <c r="Q104" i="33"/>
  <c r="Q105" i="33"/>
  <c r="Q106" i="33"/>
  <c r="Q107" i="33"/>
  <c r="Q108" i="33"/>
  <c r="Q109" i="33"/>
  <c r="Q110" i="33"/>
  <c r="Q111" i="33"/>
  <c r="Q112" i="33"/>
  <c r="Q113" i="33"/>
  <c r="Q114" i="33"/>
  <c r="Q115" i="33"/>
  <c r="Q116" i="33"/>
  <c r="Q117" i="33"/>
  <c r="Q118" i="33"/>
  <c r="Q119" i="33"/>
  <c r="Q120" i="33"/>
  <c r="Q121" i="33"/>
  <c r="Q122" i="33"/>
  <c r="Q123" i="33"/>
  <c r="Q124" i="33"/>
  <c r="Q125" i="33"/>
  <c r="Q126" i="33"/>
  <c r="Q127" i="33"/>
  <c r="Q128" i="33"/>
  <c r="Q129" i="33"/>
  <c r="Q130" i="33"/>
  <c r="Q131" i="33"/>
  <c r="Q132" i="33"/>
  <c r="Q133" i="33"/>
  <c r="Q134" i="33"/>
  <c r="Q135" i="33"/>
  <c r="Q136" i="33"/>
  <c r="Q137" i="33"/>
  <c r="Q138" i="33"/>
  <c r="Q139" i="33"/>
  <c r="Q140" i="33"/>
  <c r="Q141" i="33"/>
  <c r="Q142" i="33"/>
  <c r="Q143" i="33"/>
  <c r="Q144" i="33"/>
  <c r="Q145" i="33"/>
  <c r="Q146" i="33"/>
  <c r="Q147" i="33"/>
  <c r="Q148" i="33"/>
  <c r="Q149" i="33"/>
  <c r="Q150" i="33"/>
  <c r="Q151" i="33"/>
  <c r="Q152" i="33"/>
  <c r="Q153" i="33"/>
  <c r="Q154" i="33"/>
  <c r="Q155" i="33"/>
  <c r="Q156" i="33"/>
  <c r="Q157" i="33"/>
  <c r="Q158" i="33"/>
  <c r="Q159" i="33"/>
  <c r="Q160" i="33"/>
  <c r="Q161" i="33"/>
  <c r="Q162" i="33"/>
  <c r="Q163" i="33"/>
  <c r="Q164" i="33"/>
  <c r="Q165" i="33"/>
  <c r="Q166" i="33"/>
  <c r="Q167" i="33"/>
  <c r="Q168" i="33"/>
  <c r="Q169" i="33"/>
  <c r="Q170" i="33"/>
  <c r="Q171" i="33"/>
  <c r="Q172" i="33"/>
  <c r="Q173" i="33"/>
  <c r="Q68" i="33"/>
  <c r="Q30" i="33"/>
  <c r="P32" i="33"/>
  <c r="P33" i="33"/>
  <c r="P34" i="33"/>
  <c r="P35" i="33"/>
  <c r="P36" i="33"/>
  <c r="P37" i="33"/>
  <c r="P38" i="33"/>
  <c r="P39" i="33"/>
  <c r="AA32" i="64"/>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M148" i="63"/>
  <c r="N101" i="63"/>
  <c r="K101" i="63"/>
  <c r="J101" i="63"/>
  <c r="M101" i="63" s="1"/>
  <c r="I101" i="63"/>
  <c r="L101" i="63" s="1"/>
  <c r="L100" i="63"/>
  <c r="K100" i="63"/>
  <c r="N100" i="63" s="1"/>
  <c r="J100" i="63"/>
  <c r="M100" i="63" s="1"/>
  <c r="I100" i="63"/>
  <c r="N99" i="63"/>
  <c r="M99" i="63"/>
  <c r="K99" i="63"/>
  <c r="J99" i="63"/>
  <c r="I99" i="63"/>
  <c r="L99" i="63" s="1"/>
  <c r="M98" i="63"/>
  <c r="L98" i="63"/>
  <c r="K98" i="63"/>
  <c r="N98" i="63" s="1"/>
  <c r="J98" i="63"/>
  <c r="I98" i="63"/>
  <c r="N97" i="63"/>
  <c r="M97" i="63"/>
  <c r="K97" i="63"/>
  <c r="J97" i="63"/>
  <c r="I97" i="63"/>
  <c r="L97" i="63" s="1"/>
  <c r="M96" i="63"/>
  <c r="L96" i="63"/>
  <c r="K96" i="63"/>
  <c r="N96" i="63" s="1"/>
  <c r="J96" i="63"/>
  <c r="I96" i="63"/>
  <c r="N95" i="63"/>
  <c r="M95" i="63"/>
  <c r="K95" i="63"/>
  <c r="J95" i="63"/>
  <c r="I95" i="63"/>
  <c r="L95" i="63" s="1"/>
  <c r="M94" i="63"/>
  <c r="L94" i="63"/>
  <c r="K94" i="63"/>
  <c r="N94" i="63" s="1"/>
  <c r="J94" i="63"/>
  <c r="I94" i="63"/>
  <c r="N93" i="63"/>
  <c r="M93" i="63"/>
  <c r="K93" i="63"/>
  <c r="J93" i="63"/>
  <c r="I93" i="63"/>
  <c r="L93" i="63" s="1"/>
  <c r="M92" i="63"/>
  <c r="L92" i="63"/>
  <c r="K92" i="63"/>
  <c r="N92" i="63" s="1"/>
  <c r="J92" i="63"/>
  <c r="I92" i="63"/>
  <c r="N91" i="63"/>
  <c r="M91" i="63"/>
  <c r="K91" i="63"/>
  <c r="J91" i="63"/>
  <c r="I91" i="63"/>
  <c r="L91" i="63" s="1"/>
  <c r="M90" i="63"/>
  <c r="L90" i="63"/>
  <c r="K90" i="63"/>
  <c r="N90" i="63" s="1"/>
  <c r="J90" i="63"/>
  <c r="I90" i="63"/>
  <c r="N89" i="63"/>
  <c r="M89" i="63"/>
  <c r="K89" i="63"/>
  <c r="J89" i="63"/>
  <c r="I89" i="63"/>
  <c r="L89" i="63" s="1"/>
  <c r="M88" i="63"/>
  <c r="L88" i="63"/>
  <c r="K88" i="63"/>
  <c r="N88" i="63" s="1"/>
  <c r="J88" i="63"/>
  <c r="I88" i="63"/>
  <c r="N87" i="63"/>
  <c r="M87" i="63"/>
  <c r="K87" i="63"/>
  <c r="J87" i="63"/>
  <c r="I87" i="63"/>
  <c r="L87" i="63" s="1"/>
  <c r="M86" i="63"/>
  <c r="L86" i="63"/>
  <c r="K86" i="63"/>
  <c r="N86" i="63" s="1"/>
  <c r="J86" i="63"/>
  <c r="I86" i="63"/>
  <c r="N85" i="63"/>
  <c r="M85" i="63"/>
  <c r="K85" i="63"/>
  <c r="J85" i="63"/>
  <c r="I85" i="63"/>
  <c r="L85" i="63" s="1"/>
  <c r="M84" i="63"/>
  <c r="L84" i="63"/>
  <c r="K84" i="63"/>
  <c r="N84" i="63" s="1"/>
  <c r="J84" i="63"/>
  <c r="I84" i="63"/>
  <c r="N83" i="63"/>
  <c r="M83" i="63"/>
  <c r="K83" i="63"/>
  <c r="J83" i="63"/>
  <c r="I83" i="63"/>
  <c r="L83" i="63" s="1"/>
  <c r="M82" i="63"/>
  <c r="L82" i="63"/>
  <c r="K82" i="63"/>
  <c r="N82" i="63" s="1"/>
  <c r="J82" i="63"/>
  <c r="I82" i="63"/>
  <c r="M81" i="63"/>
  <c r="K81" i="63"/>
  <c r="N81" i="63" s="1"/>
  <c r="J81" i="63"/>
  <c r="I81" i="63"/>
  <c r="L81" i="63" s="1"/>
  <c r="M80" i="63"/>
  <c r="K80" i="63"/>
  <c r="N80" i="63" s="1"/>
  <c r="J80" i="63"/>
  <c r="I80" i="63"/>
  <c r="L80" i="63" s="1"/>
  <c r="M79" i="63"/>
  <c r="K79" i="63"/>
  <c r="N79" i="63" s="1"/>
  <c r="J79" i="63"/>
  <c r="I79" i="63"/>
  <c r="L79" i="63" s="1"/>
  <c r="M78" i="63"/>
  <c r="K78" i="63"/>
  <c r="N78" i="63" s="1"/>
  <c r="J78" i="63"/>
  <c r="I78" i="63"/>
  <c r="L78" i="63" s="1"/>
  <c r="M77" i="63"/>
  <c r="K77" i="63"/>
  <c r="N77" i="63" s="1"/>
  <c r="J77" i="63"/>
  <c r="I77" i="63"/>
  <c r="L77" i="63" s="1"/>
  <c r="M76" i="63"/>
  <c r="K76" i="63"/>
  <c r="N76" i="63" s="1"/>
  <c r="J76" i="63"/>
  <c r="I76" i="63"/>
  <c r="L76" i="63" s="1"/>
  <c r="M75" i="63"/>
  <c r="K75" i="63"/>
  <c r="N75" i="63" s="1"/>
  <c r="J75" i="63"/>
  <c r="I75" i="63"/>
  <c r="L75" i="63" s="1"/>
  <c r="M74" i="63"/>
  <c r="K74" i="63"/>
  <c r="N74" i="63" s="1"/>
  <c r="J74" i="63"/>
  <c r="I74" i="63"/>
  <c r="L74" i="63" s="1"/>
  <c r="M73" i="63"/>
  <c r="K73" i="63"/>
  <c r="N73" i="63" s="1"/>
  <c r="J73" i="63"/>
  <c r="I73" i="63"/>
  <c r="L73" i="63" s="1"/>
  <c r="M72" i="63"/>
  <c r="K72" i="63"/>
  <c r="N72" i="63" s="1"/>
  <c r="J72" i="63"/>
  <c r="I72" i="63"/>
  <c r="L72" i="63" s="1"/>
  <c r="M71" i="63"/>
  <c r="K71" i="63"/>
  <c r="N71" i="63" s="1"/>
  <c r="J71" i="63"/>
  <c r="I71" i="63"/>
  <c r="L71" i="63" s="1"/>
  <c r="M70" i="63"/>
  <c r="K70" i="63"/>
  <c r="N70" i="63" s="1"/>
  <c r="J70" i="63"/>
  <c r="I70" i="63"/>
  <c r="L70" i="63" s="1"/>
  <c r="M69" i="63"/>
  <c r="K69" i="63"/>
  <c r="N69" i="63" s="1"/>
  <c r="J69" i="63"/>
  <c r="I69" i="63"/>
  <c r="L69" i="63" s="1"/>
  <c r="M68" i="63"/>
  <c r="K68" i="63"/>
  <c r="N68" i="63" s="1"/>
  <c r="J68" i="63"/>
  <c r="I68" i="63"/>
  <c r="L68" i="63" s="1"/>
  <c r="M67" i="63"/>
  <c r="K67" i="63"/>
  <c r="N67" i="63" s="1"/>
  <c r="J67" i="63"/>
  <c r="I67" i="63"/>
  <c r="L67" i="63" s="1"/>
  <c r="M66" i="63"/>
  <c r="K66" i="63"/>
  <c r="N66" i="63" s="1"/>
  <c r="J66" i="63"/>
  <c r="I66" i="63"/>
  <c r="L66" i="63" s="1"/>
  <c r="M65" i="63"/>
  <c r="K65" i="63"/>
  <c r="N65" i="63" s="1"/>
  <c r="J65" i="63"/>
  <c r="I65" i="63"/>
  <c r="L65" i="63" s="1"/>
  <c r="M64" i="63"/>
  <c r="K64" i="63"/>
  <c r="N64" i="63" s="1"/>
  <c r="J64" i="63"/>
  <c r="I64" i="63"/>
  <c r="L64" i="63" s="1"/>
  <c r="M63" i="63"/>
  <c r="K63" i="63"/>
  <c r="N63" i="63" s="1"/>
  <c r="J63" i="63"/>
  <c r="I63" i="63"/>
  <c r="L63" i="63" s="1"/>
  <c r="M62" i="63"/>
  <c r="K62" i="63"/>
  <c r="N62" i="63" s="1"/>
  <c r="J62" i="63"/>
  <c r="I62" i="63"/>
  <c r="L62" i="63" s="1"/>
  <c r="M61" i="63"/>
  <c r="K61" i="63"/>
  <c r="N61" i="63" s="1"/>
  <c r="J61" i="63"/>
  <c r="I61" i="63"/>
  <c r="L61" i="63" s="1"/>
  <c r="M60" i="63"/>
  <c r="K60" i="63"/>
  <c r="N60" i="63" s="1"/>
  <c r="J60" i="63"/>
  <c r="I60" i="63"/>
  <c r="L60" i="63" s="1"/>
  <c r="M59" i="63"/>
  <c r="K59" i="63"/>
  <c r="N59" i="63" s="1"/>
  <c r="J59" i="63"/>
  <c r="I59" i="63"/>
  <c r="L59" i="63" s="1"/>
  <c r="T58" i="63"/>
  <c r="N58" i="63"/>
  <c r="L58" i="63"/>
  <c r="K58" i="63"/>
  <c r="J58" i="63"/>
  <c r="M58" i="63" s="1"/>
  <c r="I58" i="63"/>
  <c r="T57" i="63"/>
  <c r="J57" i="63" s="1"/>
  <c r="M57" i="63" s="1"/>
  <c r="K57" i="63"/>
  <c r="N57" i="63" s="1"/>
  <c r="I57" i="63"/>
  <c r="L57" i="63" s="1"/>
  <c r="T56" i="63"/>
  <c r="N56" i="63"/>
  <c r="L56" i="63"/>
  <c r="K56" i="63"/>
  <c r="J56" i="63"/>
  <c r="M56" i="63" s="1"/>
  <c r="I56" i="63"/>
  <c r="T55" i="63"/>
  <c r="J55" i="63" s="1"/>
  <c r="M55" i="63" s="1"/>
  <c r="K55" i="63"/>
  <c r="N55" i="63" s="1"/>
  <c r="I55" i="63"/>
  <c r="L55" i="63" s="1"/>
  <c r="M54" i="63"/>
  <c r="K54" i="63"/>
  <c r="N54" i="63" s="1"/>
  <c r="J54" i="63"/>
  <c r="I54" i="63"/>
  <c r="L54" i="63" s="1"/>
  <c r="M53" i="63"/>
  <c r="K53" i="63"/>
  <c r="N53" i="63" s="1"/>
  <c r="J53" i="63"/>
  <c r="I53" i="63"/>
  <c r="L53" i="63" s="1"/>
  <c r="M52" i="63"/>
  <c r="K52" i="63"/>
  <c r="N52" i="63" s="1"/>
  <c r="J52" i="63"/>
  <c r="I52" i="63"/>
  <c r="L52" i="63" s="1"/>
  <c r="M51" i="63"/>
  <c r="K51" i="63"/>
  <c r="N51" i="63" s="1"/>
  <c r="J51" i="63"/>
  <c r="I51" i="63"/>
  <c r="L51" i="63" s="1"/>
  <c r="M50" i="63"/>
  <c r="K50" i="63"/>
  <c r="N50" i="63" s="1"/>
  <c r="J50" i="63"/>
  <c r="I50" i="63"/>
  <c r="L50" i="63" s="1"/>
  <c r="M49" i="63"/>
  <c r="K49" i="63"/>
  <c r="N49" i="63" s="1"/>
  <c r="J49" i="63"/>
  <c r="I49" i="63"/>
  <c r="L49" i="63" s="1"/>
  <c r="M48" i="63"/>
  <c r="K48" i="63"/>
  <c r="N48" i="63" s="1"/>
  <c r="J48" i="63"/>
  <c r="I48" i="63"/>
  <c r="L48" i="63" s="1"/>
  <c r="M47" i="63"/>
  <c r="K47" i="63"/>
  <c r="N47" i="63" s="1"/>
  <c r="J47" i="63"/>
  <c r="I47" i="63"/>
  <c r="L47" i="63" s="1"/>
  <c r="T46" i="63"/>
  <c r="N46" i="63"/>
  <c r="L46" i="63"/>
  <c r="K46" i="63"/>
  <c r="J46" i="63"/>
  <c r="M46" i="63" s="1"/>
  <c r="I46" i="63"/>
  <c r="N45" i="63"/>
  <c r="L45" i="63"/>
  <c r="K45" i="63"/>
  <c r="J45" i="63"/>
  <c r="M45" i="63" s="1"/>
  <c r="I45" i="63"/>
  <c r="N44" i="63"/>
  <c r="L44" i="63"/>
  <c r="K44" i="63"/>
  <c r="J44" i="63"/>
  <c r="M44" i="63" s="1"/>
  <c r="I44" i="63"/>
  <c r="N43" i="63"/>
  <c r="L43" i="63"/>
  <c r="K43" i="63"/>
  <c r="J43" i="63"/>
  <c r="M43" i="63" s="1"/>
  <c r="I43" i="63"/>
  <c r="N42" i="63"/>
  <c r="L42" i="63"/>
  <c r="K42" i="63"/>
  <c r="J42" i="63"/>
  <c r="M42" i="63" s="1"/>
  <c r="I42" i="63"/>
  <c r="N41" i="63"/>
  <c r="L41" i="63"/>
  <c r="K41" i="63"/>
  <c r="J41" i="63"/>
  <c r="M41" i="63" s="1"/>
  <c r="I41" i="63"/>
  <c r="N40" i="63"/>
  <c r="L40" i="63"/>
  <c r="K40" i="63"/>
  <c r="J40" i="63"/>
  <c r="M40" i="63" s="1"/>
  <c r="I40" i="63"/>
  <c r="N39" i="63"/>
  <c r="L39" i="63"/>
  <c r="K39" i="63"/>
  <c r="J39" i="63"/>
  <c r="M39" i="63" s="1"/>
  <c r="I39" i="63"/>
  <c r="N38" i="63"/>
  <c r="L38" i="63"/>
  <c r="K38" i="63"/>
  <c r="J38" i="63"/>
  <c r="M38" i="63" s="1"/>
  <c r="I38" i="63"/>
  <c r="N37" i="63"/>
  <c r="L37" i="63"/>
  <c r="K37" i="63"/>
  <c r="J37" i="63"/>
  <c r="M37" i="63" s="1"/>
  <c r="I37" i="63"/>
  <c r="N36" i="63"/>
  <c r="L36" i="63"/>
  <c r="K36" i="63"/>
  <c r="J36" i="63"/>
  <c r="M36" i="63" s="1"/>
  <c r="I36" i="63"/>
  <c r="T35" i="63"/>
  <c r="J35" i="63" s="1"/>
  <c r="M35" i="63" s="1"/>
  <c r="K35" i="63"/>
  <c r="N35" i="63" s="1"/>
  <c r="I35" i="63"/>
  <c r="L35" i="63" s="1"/>
  <c r="M34" i="63"/>
  <c r="K34" i="63"/>
  <c r="N34" i="63" s="1"/>
  <c r="J34" i="63"/>
  <c r="I34" i="63"/>
  <c r="L34" i="63" s="1"/>
  <c r="T33" i="63"/>
  <c r="N33" i="63"/>
  <c r="L33" i="63"/>
  <c r="K33" i="63"/>
  <c r="J33" i="63"/>
  <c r="M33" i="63" s="1"/>
  <c r="I33" i="63"/>
  <c r="T32" i="63"/>
  <c r="J32" i="63" s="1"/>
  <c r="M32" i="63" s="1"/>
  <c r="K32" i="63"/>
  <c r="N32" i="63" s="1"/>
  <c r="I32" i="63"/>
  <c r="L32" i="63" s="1"/>
  <c r="M31" i="63"/>
  <c r="K31" i="63"/>
  <c r="N31" i="63" s="1"/>
  <c r="J31" i="63"/>
  <c r="I31" i="63"/>
  <c r="L31" i="63" s="1"/>
  <c r="M30" i="63"/>
  <c r="K30" i="63"/>
  <c r="N30" i="63" s="1"/>
  <c r="J30" i="63"/>
  <c r="I30" i="63"/>
  <c r="L30" i="63" s="1"/>
  <c r="T29" i="63"/>
  <c r="N29" i="63"/>
  <c r="L29" i="63"/>
  <c r="K29" i="63"/>
  <c r="J29" i="63"/>
  <c r="M29" i="63" s="1"/>
  <c r="I29" i="63"/>
  <c r="N28" i="63"/>
  <c r="L28" i="63"/>
  <c r="K28" i="63"/>
  <c r="J28" i="63"/>
  <c r="M28" i="63" s="1"/>
  <c r="I28" i="63"/>
  <c r="N27" i="63"/>
  <c r="L27" i="63"/>
  <c r="K27" i="63"/>
  <c r="J27" i="63"/>
  <c r="M27" i="63" s="1"/>
  <c r="I27" i="63"/>
  <c r="T26" i="63"/>
  <c r="J26" i="63" s="1"/>
  <c r="M26" i="63" s="1"/>
  <c r="K26" i="63"/>
  <c r="N26" i="63" s="1"/>
  <c r="I26" i="63"/>
  <c r="L26" i="63" s="1"/>
  <c r="M25" i="63"/>
  <c r="K25" i="63"/>
  <c r="N25" i="63" s="1"/>
  <c r="J25" i="63"/>
  <c r="I25" i="63"/>
  <c r="L25" i="63" s="1"/>
  <c r="M24" i="63"/>
  <c r="K24" i="63"/>
  <c r="N24" i="63" s="1"/>
  <c r="J24" i="63"/>
  <c r="I24" i="63"/>
  <c r="L24" i="63" s="1"/>
  <c r="M23" i="63"/>
  <c r="K23" i="63"/>
  <c r="N23" i="63" s="1"/>
  <c r="J23" i="63"/>
  <c r="I23" i="63"/>
  <c r="L23" i="63" s="1"/>
  <c r="M22" i="63"/>
  <c r="K22" i="63"/>
  <c r="N22" i="63" s="1"/>
  <c r="J22" i="63"/>
  <c r="I22" i="63"/>
  <c r="L22" i="63" s="1"/>
  <c r="M21" i="63"/>
  <c r="K21" i="63"/>
  <c r="N21" i="63" s="1"/>
  <c r="J21" i="63"/>
  <c r="I21" i="63"/>
  <c r="L21" i="63" s="1"/>
  <c r="M20" i="63"/>
  <c r="K20" i="63"/>
  <c r="N20" i="63" s="1"/>
  <c r="J20" i="63"/>
  <c r="I20" i="63"/>
  <c r="L20" i="63" s="1"/>
  <c r="M19" i="63"/>
  <c r="K19" i="63"/>
  <c r="N19" i="63" s="1"/>
  <c r="J19" i="63"/>
  <c r="I19" i="63"/>
  <c r="L19" i="63" s="1"/>
  <c r="M18" i="63"/>
  <c r="K18" i="63"/>
  <c r="N18" i="63" s="1"/>
  <c r="J18" i="63"/>
  <c r="I18" i="63"/>
  <c r="L18" i="63" s="1"/>
  <c r="N16" i="63"/>
  <c r="N15" i="63"/>
  <c r="M15" i="63"/>
  <c r="N14" i="63"/>
  <c r="M14" i="63"/>
  <c r="N13" i="63"/>
  <c r="M13" i="63"/>
  <c r="N12" i="63"/>
  <c r="M12" i="63"/>
  <c r="N11" i="63"/>
  <c r="M11" i="63"/>
  <c r="N3" i="63"/>
  <c r="C34" i="62"/>
  <c r="C32" i="62"/>
  <c r="C31" i="62"/>
  <c r="C30" i="62"/>
  <c r="C29" i="62"/>
  <c r="C8" i="62"/>
  <c r="C7" i="62"/>
  <c r="D6" i="62"/>
  <c r="C6" i="62"/>
  <c r="C5" i="62"/>
  <c r="C4" i="62"/>
  <c r="C3" i="62"/>
  <c r="C2" i="62"/>
  <c r="V202" i="61"/>
  <c r="N187" i="61"/>
  <c r="N182" i="61"/>
  <c r="N176" i="61"/>
  <c r="N165" i="61"/>
  <c r="N160" i="61"/>
  <c r="N154" i="61"/>
  <c r="R139" i="61"/>
  <c r="Q139" i="61"/>
  <c r="V130" i="61"/>
  <c r="Q130" i="61"/>
  <c r="H129" i="61"/>
  <c r="H128" i="61"/>
  <c r="H127" i="61"/>
  <c r="V121" i="61"/>
  <c r="Q121" i="61"/>
  <c r="V118" i="61"/>
  <c r="Q118" i="61"/>
  <c r="H117" i="61"/>
  <c r="H116" i="61"/>
  <c r="H115" i="61"/>
  <c r="F109" i="61"/>
  <c r="AD103" i="61"/>
  <c r="AD97" i="61"/>
  <c r="AD92" i="61"/>
  <c r="F81" i="61"/>
  <c r="P72" i="61"/>
  <c r="D50" i="61"/>
  <c r="D47" i="61"/>
  <c r="D48" i="61" s="1"/>
  <c r="I29" i="61"/>
  <c r="I23" i="61"/>
  <c r="O19" i="61"/>
  <c r="M19" i="61" a="1"/>
  <c r="M19" i="61"/>
  <c r="F19" i="61"/>
  <c r="O14" i="61"/>
  <c r="M14" i="61" a="1"/>
  <c r="M14" i="61"/>
  <c r="F14" i="61"/>
  <c r="E14" i="61"/>
  <c r="E13" i="61"/>
  <c r="G13" i="61" s="1"/>
  <c r="F13" i="56"/>
  <c r="E7" i="56"/>
  <c r="F2" i="56"/>
  <c r="P10" i="55" a="1"/>
  <c r="P10" i="55" s="1"/>
  <c r="L10" i="55"/>
  <c r="R10" i="55" s="1"/>
  <c r="F10" i="55"/>
  <c r="K8" i="55"/>
  <c r="R2" i="55"/>
  <c r="P2" i="55" a="1"/>
  <c r="P2" i="55" s="1"/>
  <c r="R10" i="54"/>
  <c r="P10" i="54" a="1"/>
  <c r="P10" i="54"/>
  <c r="L10" i="54"/>
  <c r="K8" i="54"/>
  <c r="J8" i="54"/>
  <c r="G8" i="54"/>
  <c r="F8" i="54"/>
  <c r="R2" i="54"/>
  <c r="P2" i="54" a="1"/>
  <c r="P2" i="54" s="1"/>
  <c r="P9" i="53"/>
  <c r="N9" i="53" a="1"/>
  <c r="N9" i="53"/>
  <c r="J9" i="53"/>
  <c r="E5" i="53"/>
  <c r="P2" i="53"/>
  <c r="N2" i="53" a="1"/>
  <c r="N2" i="53"/>
  <c r="G24" i="52"/>
  <c r="G12" i="52"/>
  <c r="F12" i="52"/>
  <c r="F10" i="54" s="1"/>
  <c r="E12" i="52"/>
  <c r="D6" i="52"/>
  <c r="BA115" i="51"/>
  <c r="BA114" i="51"/>
  <c r="BA113" i="51"/>
  <c r="BA102" i="51"/>
  <c r="BA100" i="51"/>
  <c r="BA99" i="51"/>
  <c r="I53" i="51"/>
  <c r="H53" i="51"/>
  <c r="G53" i="51"/>
  <c r="J52" i="51"/>
  <c r="I52" i="51"/>
  <c r="I51" i="51"/>
  <c r="J50" i="51"/>
  <c r="I50" i="51"/>
  <c r="H50" i="51"/>
  <c r="G50" i="51"/>
  <c r="J49" i="51"/>
  <c r="I49" i="51"/>
  <c r="H49" i="51"/>
  <c r="G49" i="51"/>
  <c r="I48" i="51"/>
  <c r="I45" i="51" s="1"/>
  <c r="H48" i="51"/>
  <c r="G48" i="51"/>
  <c r="I47" i="51"/>
  <c r="H47" i="51"/>
  <c r="G47" i="51"/>
  <c r="I46" i="51"/>
  <c r="K45" i="51"/>
  <c r="J45" i="51"/>
  <c r="G44" i="51"/>
  <c r="H46" i="51" s="1"/>
  <c r="G36" i="51"/>
  <c r="E31" i="62" s="1"/>
  <c r="F36" i="51"/>
  <c r="F32" i="51"/>
  <c r="E32" i="51"/>
  <c r="F29" i="51"/>
  <c r="E29" i="51"/>
  <c r="L5" i="51"/>
  <c r="L4" i="51"/>
  <c r="L3" i="51"/>
  <c r="L6" i="51" s="1"/>
  <c r="S14" i="50"/>
  <c r="Q14" i="50"/>
  <c r="O14" i="50"/>
  <c r="M14" i="50"/>
  <c r="K14" i="50"/>
  <c r="I14" i="50"/>
  <c r="G14" i="50"/>
  <c r="G11" i="50"/>
  <c r="G10" i="50"/>
  <c r="G9" i="50"/>
  <c r="D6" i="50"/>
  <c r="E13" i="49"/>
  <c r="H12" i="49"/>
  <c r="E12" i="49"/>
  <c r="E11" i="49"/>
  <c r="E10" i="49"/>
  <c r="D6" i="49"/>
  <c r="D5" i="49"/>
  <c r="F269" i="48"/>
  <c r="F208" i="48"/>
  <c r="F147" i="48"/>
  <c r="F84" i="48"/>
  <c r="G17" i="48"/>
  <c r="F17" i="48"/>
  <c r="G16" i="48"/>
  <c r="F16" i="48"/>
  <c r="N7" i="48"/>
  <c r="N4" i="48"/>
  <c r="N1" i="48"/>
  <c r="E32" i="47"/>
  <c r="E24" i="47"/>
  <c r="D15" i="47"/>
  <c r="D14" i="47"/>
  <c r="E16" i="46"/>
  <c r="G14" i="46"/>
  <c r="E13" i="46"/>
  <c r="E12" i="46"/>
  <c r="D6" i="46"/>
  <c r="D5" i="46"/>
  <c r="N21" i="45"/>
  <c r="F21" i="45"/>
  <c r="N19" i="45"/>
  <c r="M19" i="45"/>
  <c r="L19" i="45"/>
  <c r="K19" i="45"/>
  <c r="J19" i="45"/>
  <c r="I19" i="45"/>
  <c r="H19" i="45"/>
  <c r="G19" i="45"/>
  <c r="F19" i="45"/>
  <c r="E19" i="45"/>
  <c r="N18" i="45"/>
  <c r="E18" i="45"/>
  <c r="N17" i="45"/>
  <c r="E17" i="45"/>
  <c r="N16" i="45"/>
  <c r="E16" i="45"/>
  <c r="N15" i="45"/>
  <c r="E15" i="45"/>
  <c r="M14" i="45"/>
  <c r="L14" i="45"/>
  <c r="K14" i="45"/>
  <c r="J14" i="45"/>
  <c r="I14" i="45"/>
  <c r="H14" i="45"/>
  <c r="G14" i="45"/>
  <c r="G11" i="45"/>
  <c r="G10" i="45"/>
  <c r="G9" i="45"/>
  <c r="D6" i="45"/>
  <c r="D5" i="45"/>
  <c r="F2" i="45"/>
  <c r="T24" i="44"/>
  <c r="F21" i="44"/>
  <c r="F6" i="44"/>
  <c r="F5" i="44"/>
  <c r="K57" i="43"/>
  <c r="H57" i="43"/>
  <c r="K56" i="43"/>
  <c r="H56" i="43"/>
  <c r="K55" i="43"/>
  <c r="H55" i="43"/>
  <c r="X54" i="43"/>
  <c r="W54" i="43"/>
  <c r="V54" i="43"/>
  <c r="U54" i="43"/>
  <c r="T54" i="43"/>
  <c r="S54" i="43"/>
  <c r="R54" i="43"/>
  <c r="Q54" i="43"/>
  <c r="P54" i="43"/>
  <c r="O54" i="43"/>
  <c r="N54" i="43"/>
  <c r="M54" i="43"/>
  <c r="L54" i="43"/>
  <c r="K54" i="43"/>
  <c r="I54" i="43"/>
  <c r="H54" i="43"/>
  <c r="K53" i="43"/>
  <c r="H53" i="43"/>
  <c r="K52" i="43"/>
  <c r="H52" i="43"/>
  <c r="K51" i="43"/>
  <c r="H51" i="43"/>
  <c r="K50" i="43"/>
  <c r="H50" i="43"/>
  <c r="X49" i="43"/>
  <c r="W49" i="43"/>
  <c r="V49" i="43"/>
  <c r="U49" i="43"/>
  <c r="T49" i="43"/>
  <c r="S49" i="43"/>
  <c r="R49" i="43"/>
  <c r="Q49" i="43"/>
  <c r="P49" i="43"/>
  <c r="O49" i="43"/>
  <c r="N49" i="43"/>
  <c r="M49" i="43"/>
  <c r="L49" i="43"/>
  <c r="K49" i="43"/>
  <c r="I49" i="43"/>
  <c r="H49" i="43"/>
  <c r="X48" i="43"/>
  <c r="W48" i="43"/>
  <c r="V48" i="43"/>
  <c r="U48" i="43"/>
  <c r="T48" i="43"/>
  <c r="S48" i="43"/>
  <c r="R48" i="43"/>
  <c r="Q48" i="43"/>
  <c r="P48" i="43"/>
  <c r="O48" i="43"/>
  <c r="N48" i="43"/>
  <c r="M48" i="43"/>
  <c r="L48" i="43"/>
  <c r="K48" i="43"/>
  <c r="I48" i="43"/>
  <c r="H48" i="43"/>
  <c r="K47" i="43"/>
  <c r="H47" i="43"/>
  <c r="K46" i="43"/>
  <c r="H46" i="43"/>
  <c r="K45" i="43"/>
  <c r="H45" i="43"/>
  <c r="X44" i="43"/>
  <c r="W44" i="43"/>
  <c r="V44" i="43"/>
  <c r="U44" i="43"/>
  <c r="T44" i="43"/>
  <c r="S44" i="43"/>
  <c r="R44" i="43"/>
  <c r="Q44" i="43"/>
  <c r="P44" i="43"/>
  <c r="O44" i="43"/>
  <c r="N44" i="43"/>
  <c r="M44" i="43"/>
  <c r="K44" i="43" s="1"/>
  <c r="L44" i="43"/>
  <c r="I44" i="43"/>
  <c r="H44" i="43"/>
  <c r="K43" i="43"/>
  <c r="H43" i="43"/>
  <c r="K42" i="43"/>
  <c r="H42" i="43"/>
  <c r="K41" i="43"/>
  <c r="H41" i="43"/>
  <c r="K40" i="43"/>
  <c r="H40" i="43"/>
  <c r="X39" i="43"/>
  <c r="W39" i="43"/>
  <c r="V39" i="43"/>
  <c r="U39" i="43"/>
  <c r="T39" i="43"/>
  <c r="S39" i="43"/>
  <c r="R39" i="43"/>
  <c r="Q39" i="43"/>
  <c r="P39" i="43"/>
  <c r="O39" i="43"/>
  <c r="N39" i="43"/>
  <c r="M39" i="43"/>
  <c r="K39" i="43" s="1"/>
  <c r="L39" i="43"/>
  <c r="I39" i="43"/>
  <c r="H39" i="43"/>
  <c r="X38" i="43"/>
  <c r="X58" i="43" s="1"/>
  <c r="W38" i="43"/>
  <c r="W58" i="43" s="1"/>
  <c r="V38" i="43"/>
  <c r="V58" i="43" s="1"/>
  <c r="U38" i="43"/>
  <c r="U58" i="43" s="1"/>
  <c r="T38" i="43"/>
  <c r="T58" i="43" s="1"/>
  <c r="S38" i="43"/>
  <c r="S58" i="43" s="1"/>
  <c r="R38" i="43"/>
  <c r="R58" i="43" s="1"/>
  <c r="Q38" i="43"/>
  <c r="Q58" i="43" s="1"/>
  <c r="P38" i="43"/>
  <c r="P58" i="43" s="1"/>
  <c r="O38" i="43"/>
  <c r="O58" i="43" s="1"/>
  <c r="N38" i="43"/>
  <c r="N58" i="43" s="1"/>
  <c r="M38" i="43"/>
  <c r="K38" i="43" s="1"/>
  <c r="L38" i="43"/>
  <c r="L58" i="43" s="1"/>
  <c r="I38" i="43"/>
  <c r="I58" i="43" s="1"/>
  <c r="H58" i="43" s="1"/>
  <c r="H38" i="43"/>
  <c r="U36" i="43"/>
  <c r="H36" i="43"/>
  <c r="K35" i="43"/>
  <c r="H35" i="43"/>
  <c r="K34" i="43"/>
  <c r="H34" i="43"/>
  <c r="K33" i="43"/>
  <c r="H33" i="43"/>
  <c r="X32" i="43"/>
  <c r="W32" i="43"/>
  <c r="V32" i="43"/>
  <c r="U32" i="43"/>
  <c r="T32" i="43"/>
  <c r="S32" i="43"/>
  <c r="R32" i="43"/>
  <c r="Q32" i="43"/>
  <c r="P32" i="43"/>
  <c r="O32" i="43"/>
  <c r="N32" i="43"/>
  <c r="M32" i="43"/>
  <c r="L32" i="43"/>
  <c r="K32" i="43"/>
  <c r="I32" i="43"/>
  <c r="H32" i="43"/>
  <c r="K31" i="43"/>
  <c r="H31" i="43"/>
  <c r="K30" i="43"/>
  <c r="H30" i="43"/>
  <c r="K29" i="43"/>
  <c r="H29" i="43"/>
  <c r="X28" i="43"/>
  <c r="W28" i="43"/>
  <c r="V28" i="43"/>
  <c r="U28" i="43"/>
  <c r="T28" i="43"/>
  <c r="S28" i="43"/>
  <c r="R28" i="43"/>
  <c r="Q28" i="43"/>
  <c r="P28" i="43"/>
  <c r="O28" i="43"/>
  <c r="N28" i="43"/>
  <c r="M28" i="43"/>
  <c r="K28" i="43" s="1"/>
  <c r="L28" i="43"/>
  <c r="I28" i="43"/>
  <c r="H28" i="43"/>
  <c r="K27" i="43"/>
  <c r="H27" i="43"/>
  <c r="K26" i="43"/>
  <c r="H26" i="43"/>
  <c r="K25" i="43"/>
  <c r="H25" i="43"/>
  <c r="K24" i="43"/>
  <c r="H24" i="43"/>
  <c r="K23" i="43"/>
  <c r="H23" i="43"/>
  <c r="K22" i="43"/>
  <c r="H22" i="43"/>
  <c r="K21" i="43"/>
  <c r="H21" i="43"/>
  <c r="K20" i="43"/>
  <c r="H20" i="43"/>
  <c r="K19" i="43"/>
  <c r="H19" i="43"/>
  <c r="K18" i="43"/>
  <c r="H18" i="43"/>
  <c r="K17" i="43"/>
  <c r="H17" i="43"/>
  <c r="K16" i="43"/>
  <c r="H16" i="43"/>
  <c r="X15" i="43"/>
  <c r="X36" i="43" s="1"/>
  <c r="W15" i="43"/>
  <c r="W36" i="43" s="1"/>
  <c r="V15" i="43"/>
  <c r="V36" i="43" s="1"/>
  <c r="U15" i="43"/>
  <c r="T15" i="43"/>
  <c r="T36" i="43" s="1"/>
  <c r="S15" i="43"/>
  <c r="S36" i="43" s="1"/>
  <c r="R15" i="43"/>
  <c r="R36" i="43" s="1"/>
  <c r="Q15" i="43"/>
  <c r="Q36" i="43" s="1"/>
  <c r="P15" i="43"/>
  <c r="P36" i="43" s="1"/>
  <c r="O15" i="43"/>
  <c r="O36" i="43" s="1"/>
  <c r="N15" i="43"/>
  <c r="N36" i="43" s="1"/>
  <c r="M15" i="43"/>
  <c r="M36" i="43" s="1"/>
  <c r="L15" i="43"/>
  <c r="L36" i="43" s="1"/>
  <c r="K15" i="43"/>
  <c r="I15" i="43"/>
  <c r="I36" i="43" s="1"/>
  <c r="H15" i="43"/>
  <c r="K11" i="43"/>
  <c r="H11" i="43"/>
  <c r="F6" i="43"/>
  <c r="F5" i="43"/>
  <c r="AD131" i="42"/>
  <c r="AD130" i="42"/>
  <c r="AD125" i="42"/>
  <c r="AD120" i="42"/>
  <c r="AD119" i="42"/>
  <c r="AD114" i="42"/>
  <c r="AD113" i="42"/>
  <c r="AD108" i="42"/>
  <c r="AD107" i="42"/>
  <c r="AD106" i="42"/>
  <c r="AD101" i="42"/>
  <c r="AD96" i="42"/>
  <c r="AD95" i="42"/>
  <c r="AD94" i="42"/>
  <c r="AE89" i="42"/>
  <c r="AD89" i="42"/>
  <c r="AE88" i="42"/>
  <c r="AD88" i="42"/>
  <c r="AC88" i="42"/>
  <c r="F14" i="42"/>
  <c r="F6" i="42"/>
  <c r="F5" i="42"/>
  <c r="H17" i="41"/>
  <c r="P13" i="41"/>
  <c r="F6" i="41"/>
  <c r="F5" i="41"/>
  <c r="G28" i="40"/>
  <c r="G27" i="40"/>
  <c r="G26" i="40"/>
  <c r="D23" i="40"/>
  <c r="D22" i="40"/>
  <c r="D14" i="40"/>
  <c r="D13" i="40"/>
  <c r="D11" i="40"/>
  <c r="D10" i="40"/>
  <c r="D9" i="40"/>
  <c r="D7" i="40"/>
  <c r="D6" i="40"/>
  <c r="D4" i="40"/>
  <c r="D3" i="40"/>
  <c r="T12" i="39"/>
  <c r="S12" i="39"/>
  <c r="R12" i="39"/>
  <c r="Q12" i="39"/>
  <c r="P12" i="39"/>
  <c r="O12" i="39"/>
  <c r="N12" i="39"/>
  <c r="M12" i="39"/>
  <c r="L12" i="39"/>
  <c r="K12" i="39"/>
  <c r="J12" i="39"/>
  <c r="I12" i="39"/>
  <c r="H12" i="39"/>
  <c r="G12" i="39"/>
  <c r="G9" i="39"/>
  <c r="G8" i="39"/>
  <c r="G7" i="39"/>
  <c r="D4" i="39"/>
  <c r="D3" i="39"/>
  <c r="E28" i="38"/>
  <c r="N27" i="38"/>
  <c r="M27" i="38"/>
  <c r="M16" i="38" s="1"/>
  <c r="L27" i="38"/>
  <c r="K27" i="38"/>
  <c r="K16" i="38" s="1"/>
  <c r="J27" i="38"/>
  <c r="I27" i="38"/>
  <c r="I16" i="38" s="1"/>
  <c r="H27" i="38"/>
  <c r="N16" i="38"/>
  <c r="L16" i="38"/>
  <c r="J16" i="38"/>
  <c r="H16" i="38"/>
  <c r="H12" i="38"/>
  <c r="H11" i="38"/>
  <c r="H10" i="38"/>
  <c r="E7" i="38"/>
  <c r="E33" i="37"/>
  <c r="N32" i="37"/>
  <c r="N16" i="37" s="1"/>
  <c r="M32" i="37"/>
  <c r="L32" i="37"/>
  <c r="L16" i="37" s="1"/>
  <c r="K32" i="37"/>
  <c r="J32" i="37"/>
  <c r="J16" i="37" s="1"/>
  <c r="I32" i="37"/>
  <c r="H32" i="37"/>
  <c r="H16" i="37" s="1"/>
  <c r="M16" i="37"/>
  <c r="K16" i="37"/>
  <c r="I16" i="37"/>
  <c r="H12" i="37"/>
  <c r="H11" i="37"/>
  <c r="H10" i="37"/>
  <c r="E7" i="37"/>
  <c r="I6" i="36"/>
  <c r="F2" i="36"/>
  <c r="E2" i="36"/>
  <c r="L12" i="35"/>
  <c r="L11" i="35"/>
  <c r="L10" i="35"/>
  <c r="I7" i="35"/>
  <c r="R3" i="35"/>
  <c r="Q3" i="35"/>
  <c r="P3" i="35"/>
  <c r="O3" i="35"/>
  <c r="N3" i="35"/>
  <c r="L3" i="35"/>
  <c r="F2" i="35"/>
  <c r="E2" i="35"/>
  <c r="O185" i="34"/>
  <c r="R184" i="34"/>
  <c r="Q184" i="34"/>
  <c r="O181" i="34"/>
  <c r="Q180" i="34"/>
  <c r="R180" i="34" s="1"/>
  <c r="O177" i="34"/>
  <c r="R176" i="34"/>
  <c r="Q176" i="34"/>
  <c r="O173" i="34"/>
  <c r="O171" i="34"/>
  <c r="R170" i="34"/>
  <c r="Q170" i="34"/>
  <c r="O167" i="34"/>
  <c r="Q166" i="34"/>
  <c r="R166" i="34" s="1"/>
  <c r="O163" i="34"/>
  <c r="O161" i="34"/>
  <c r="Q160" i="34"/>
  <c r="R160" i="34" s="1"/>
  <c r="O157" i="34"/>
  <c r="R156" i="34"/>
  <c r="Q156" i="34"/>
  <c r="O153" i="34"/>
  <c r="O151" i="34"/>
  <c r="O149" i="34"/>
  <c r="O147" i="34"/>
  <c r="O145" i="34"/>
  <c r="O143" i="34"/>
  <c r="R142" i="34"/>
  <c r="Q142" i="34"/>
  <c r="Q140" i="34" s="1"/>
  <c r="V140" i="34"/>
  <c r="O130" i="34"/>
  <c r="R129" i="34"/>
  <c r="Q129" i="34"/>
  <c r="O126" i="34"/>
  <c r="Q125" i="34"/>
  <c r="R125" i="34" s="1"/>
  <c r="O122" i="34"/>
  <c r="R121" i="34"/>
  <c r="Q121" i="34"/>
  <c r="O118" i="34"/>
  <c r="Q117" i="34"/>
  <c r="Q115" i="34" s="1"/>
  <c r="V115" i="34"/>
  <c r="V106" i="34"/>
  <c r="Q106" i="34"/>
  <c r="O96" i="34"/>
  <c r="R95" i="34"/>
  <c r="Q95" i="34"/>
  <c r="O92" i="34"/>
  <c r="Q91" i="34"/>
  <c r="R91" i="34" s="1"/>
  <c r="O88" i="34"/>
  <c r="R87" i="34"/>
  <c r="Q87" i="34"/>
  <c r="O84" i="34"/>
  <c r="O82" i="34"/>
  <c r="R81" i="34"/>
  <c r="Q81" i="34"/>
  <c r="O78" i="34"/>
  <c r="O76" i="34"/>
  <c r="R75" i="34"/>
  <c r="Q75" i="34"/>
  <c r="O72" i="34"/>
  <c r="Q71" i="34"/>
  <c r="R71" i="34" s="1"/>
  <c r="V69" i="34"/>
  <c r="Q69" i="34"/>
  <c r="V60" i="34"/>
  <c r="Q60" i="34"/>
  <c r="V54" i="34"/>
  <c r="Q54" i="34"/>
  <c r="O50" i="34"/>
  <c r="O48" i="34"/>
  <c r="Q47" i="34"/>
  <c r="R47" i="34" s="1"/>
  <c r="O44" i="34"/>
  <c r="O42" i="34"/>
  <c r="Q41" i="34"/>
  <c r="R41" i="34" s="1"/>
  <c r="O38" i="34"/>
  <c r="O36" i="34"/>
  <c r="Q35" i="34"/>
  <c r="R35" i="34" s="1"/>
  <c r="O32" i="34"/>
  <c r="O30" i="34"/>
  <c r="Q29" i="34"/>
  <c r="R29" i="34" s="1"/>
  <c r="O26" i="34"/>
  <c r="R25" i="34"/>
  <c r="Q25" i="34"/>
  <c r="O22" i="34"/>
  <c r="O20" i="34"/>
  <c r="R19" i="34"/>
  <c r="Q19" i="34"/>
  <c r="V17" i="34"/>
  <c r="E6" i="34"/>
  <c r="E5" i="34"/>
  <c r="O173" i="33"/>
  <c r="F173" i="33"/>
  <c r="E173" i="33"/>
  <c r="O172" i="33"/>
  <c r="F172" i="33"/>
  <c r="E172" i="33"/>
  <c r="O171" i="33"/>
  <c r="F171" i="33"/>
  <c r="E171" i="33"/>
  <c r="O170" i="33"/>
  <c r="F170" i="33"/>
  <c r="E170" i="33"/>
  <c r="O169" i="33"/>
  <c r="F169" i="33"/>
  <c r="E169" i="33"/>
  <c r="E167" i="33"/>
  <c r="E166" i="33"/>
  <c r="E164" i="33"/>
  <c r="E163" i="33"/>
  <c r="E162" i="33"/>
  <c r="O160" i="33"/>
  <c r="I160" i="33"/>
  <c r="F160" i="33"/>
  <c r="E160" i="33"/>
  <c r="E165" i="33" s="1"/>
  <c r="O151" i="33"/>
  <c r="I151" i="33"/>
  <c r="F151" i="33"/>
  <c r="E151" i="33"/>
  <c r="E155" i="33" s="1"/>
  <c r="O148" i="33"/>
  <c r="F148" i="33"/>
  <c r="E148" i="33"/>
  <c r="E149" i="33" s="1"/>
  <c r="O147" i="33"/>
  <c r="F147" i="33"/>
  <c r="E147" i="33"/>
  <c r="O146" i="33"/>
  <c r="F146" i="33"/>
  <c r="E146" i="33"/>
  <c r="O145" i="33"/>
  <c r="F145" i="33"/>
  <c r="E145" i="33"/>
  <c r="O144" i="33"/>
  <c r="F144" i="33"/>
  <c r="E144" i="33"/>
  <c r="O143" i="33"/>
  <c r="F143" i="33"/>
  <c r="E143" i="33"/>
  <c r="O142" i="33"/>
  <c r="F142" i="33"/>
  <c r="E142" i="33"/>
  <c r="O141" i="33"/>
  <c r="F141" i="33"/>
  <c r="E141" i="33"/>
  <c r="O140" i="33"/>
  <c r="F140" i="33"/>
  <c r="E140" i="33"/>
  <c r="O139" i="33"/>
  <c r="F139" i="33"/>
  <c r="E139" i="33"/>
  <c r="O138" i="33"/>
  <c r="F138" i="33"/>
  <c r="E138" i="33"/>
  <c r="O137" i="33"/>
  <c r="F137" i="33"/>
  <c r="E137" i="33"/>
  <c r="O136" i="33"/>
  <c r="N136" i="33"/>
  <c r="M136" i="33"/>
  <c r="K136" i="33"/>
  <c r="J136" i="33"/>
  <c r="I136" i="33"/>
  <c r="F136" i="33"/>
  <c r="E136" i="33"/>
  <c r="O135" i="33"/>
  <c r="F135" i="33"/>
  <c r="E135" i="33"/>
  <c r="O134" i="33"/>
  <c r="L134" i="33"/>
  <c r="L136" i="33" s="1"/>
  <c r="L137" i="33" s="1"/>
  <c r="F134" i="33"/>
  <c r="E134" i="33"/>
  <c r="O133" i="33"/>
  <c r="F133" i="33"/>
  <c r="E133" i="33"/>
  <c r="E129" i="33"/>
  <c r="E125" i="33"/>
  <c r="O124" i="33"/>
  <c r="N124" i="33"/>
  <c r="J124" i="33"/>
  <c r="I124" i="33"/>
  <c r="F124" i="33"/>
  <c r="E124" i="33"/>
  <c r="E128" i="33" s="1"/>
  <c r="O123" i="33"/>
  <c r="F123" i="33"/>
  <c r="E123" i="33"/>
  <c r="O122" i="33"/>
  <c r="F122" i="33"/>
  <c r="E122" i="33"/>
  <c r="O121" i="33"/>
  <c r="F121" i="33"/>
  <c r="E121" i="33"/>
  <c r="O120" i="33"/>
  <c r="F120" i="33"/>
  <c r="E120" i="33"/>
  <c r="O119" i="33"/>
  <c r="F119" i="33"/>
  <c r="E119" i="33"/>
  <c r="O118" i="33"/>
  <c r="F118" i="33"/>
  <c r="E118" i="33"/>
  <c r="O117" i="33"/>
  <c r="F117" i="33"/>
  <c r="E117" i="33"/>
  <c r="O116" i="33"/>
  <c r="F116" i="33"/>
  <c r="E116" i="33"/>
  <c r="O115" i="33"/>
  <c r="F115" i="33"/>
  <c r="E115" i="33"/>
  <c r="O114" i="33"/>
  <c r="F114" i="33"/>
  <c r="E114" i="33"/>
  <c r="O113" i="33"/>
  <c r="F113" i="33"/>
  <c r="E113" i="33"/>
  <c r="O112" i="33"/>
  <c r="N112" i="33"/>
  <c r="M112" i="33"/>
  <c r="L112" i="33"/>
  <c r="K112" i="33"/>
  <c r="J112" i="33"/>
  <c r="I112" i="33"/>
  <c r="H112" i="33"/>
  <c r="F112" i="33"/>
  <c r="E112" i="33"/>
  <c r="O111" i="33"/>
  <c r="F111" i="33"/>
  <c r="E111" i="33"/>
  <c r="O110" i="33"/>
  <c r="F110" i="33"/>
  <c r="E110" i="33"/>
  <c r="O109" i="33"/>
  <c r="F109" i="33"/>
  <c r="E109" i="33"/>
  <c r="O108" i="33"/>
  <c r="F108" i="33"/>
  <c r="E108" i="33"/>
  <c r="O107" i="33"/>
  <c r="F107" i="33"/>
  <c r="E107" i="33"/>
  <c r="O106" i="33"/>
  <c r="F106" i="33"/>
  <c r="E106" i="33"/>
  <c r="O105" i="33"/>
  <c r="F105" i="33"/>
  <c r="E105" i="33"/>
  <c r="O104" i="33"/>
  <c r="F104" i="33"/>
  <c r="E104" i="33"/>
  <c r="O103" i="33"/>
  <c r="F103" i="33"/>
  <c r="E103" i="33"/>
  <c r="O102" i="33"/>
  <c r="F102" i="33"/>
  <c r="E102" i="33"/>
  <c r="O101" i="33"/>
  <c r="N101" i="33"/>
  <c r="M101" i="33"/>
  <c r="M100" i="33" s="1"/>
  <c r="L101" i="33"/>
  <c r="K101" i="33"/>
  <c r="K100" i="33" s="1"/>
  <c r="J101" i="33"/>
  <c r="I101" i="33"/>
  <c r="I100" i="33" s="1"/>
  <c r="F101" i="33"/>
  <c r="E101" i="33"/>
  <c r="O100" i="33"/>
  <c r="N100" i="33"/>
  <c r="L100" i="33"/>
  <c r="J100" i="33"/>
  <c r="F100" i="33"/>
  <c r="E100" i="33"/>
  <c r="O99" i="33"/>
  <c r="F99" i="33"/>
  <c r="E99" i="33"/>
  <c r="O98" i="33"/>
  <c r="F98" i="33"/>
  <c r="E98" i="33"/>
  <c r="O97" i="33"/>
  <c r="F97" i="33"/>
  <c r="E97" i="33"/>
  <c r="P93" i="33"/>
  <c r="O93" i="33"/>
  <c r="N93" i="33"/>
  <c r="M93" i="33"/>
  <c r="L93" i="33"/>
  <c r="K93" i="33"/>
  <c r="J93" i="33"/>
  <c r="I93" i="33"/>
  <c r="H93" i="33"/>
  <c r="F93" i="33"/>
  <c r="E93" i="33"/>
  <c r="E95" i="33" s="1"/>
  <c r="P92" i="33"/>
  <c r="O92" i="33"/>
  <c r="F92" i="33"/>
  <c r="E92" i="33"/>
  <c r="P91" i="33"/>
  <c r="O91" i="33"/>
  <c r="F91" i="33"/>
  <c r="E91" i="33"/>
  <c r="O90" i="33"/>
  <c r="F90" i="33"/>
  <c r="E90" i="33"/>
  <c r="P90" i="33" s="1"/>
  <c r="O89" i="33"/>
  <c r="F89" i="33"/>
  <c r="E89" i="33"/>
  <c r="P89" i="33" s="1"/>
  <c r="O88" i="33"/>
  <c r="F88" i="33"/>
  <c r="E88" i="33"/>
  <c r="P88" i="33" s="1"/>
  <c r="O87" i="33"/>
  <c r="F87" i="33"/>
  <c r="E87" i="33"/>
  <c r="P87" i="33" s="1"/>
  <c r="O86" i="33"/>
  <c r="F86" i="33"/>
  <c r="E86" i="33"/>
  <c r="P86" i="33" s="1"/>
  <c r="O85" i="33"/>
  <c r="F85" i="33"/>
  <c r="E85" i="33"/>
  <c r="P85" i="33" s="1"/>
  <c r="O84" i="33"/>
  <c r="F84" i="33"/>
  <c r="E84" i="33"/>
  <c r="P84" i="33" s="1"/>
  <c r="O83" i="33"/>
  <c r="F83" i="33"/>
  <c r="E83" i="33"/>
  <c r="P83" i="33" s="1"/>
  <c r="O82" i="33"/>
  <c r="F82" i="33"/>
  <c r="E82" i="33"/>
  <c r="P82" i="33" s="1"/>
  <c r="O81" i="33"/>
  <c r="F81" i="33"/>
  <c r="E81" i="33"/>
  <c r="P81" i="33" s="1"/>
  <c r="O80" i="33"/>
  <c r="F80" i="33"/>
  <c r="E80" i="33"/>
  <c r="P80" i="33" s="1"/>
  <c r="O79" i="33"/>
  <c r="N79" i="33"/>
  <c r="M79" i="33"/>
  <c r="L79" i="33"/>
  <c r="K79" i="33"/>
  <c r="J79" i="33"/>
  <c r="I79" i="33"/>
  <c r="F79" i="33"/>
  <c r="E79" i="33"/>
  <c r="P79" i="33" s="1"/>
  <c r="O78" i="33"/>
  <c r="F78" i="33"/>
  <c r="E78" i="33"/>
  <c r="P78" i="33" s="1"/>
  <c r="O77" i="33"/>
  <c r="F77" i="33"/>
  <c r="E77" i="33"/>
  <c r="P77" i="33" s="1"/>
  <c r="O76" i="33"/>
  <c r="N76" i="33"/>
  <c r="M76" i="33"/>
  <c r="L76" i="33"/>
  <c r="K76" i="33"/>
  <c r="J76" i="33"/>
  <c r="I76" i="33"/>
  <c r="F76" i="33"/>
  <c r="E76" i="33"/>
  <c r="P76" i="33" s="1"/>
  <c r="O75" i="33"/>
  <c r="F75" i="33"/>
  <c r="E75" i="33"/>
  <c r="P75" i="33" s="1"/>
  <c r="O74" i="33"/>
  <c r="F74" i="33"/>
  <c r="E74" i="33"/>
  <c r="P74" i="33" s="1"/>
  <c r="O73" i="33"/>
  <c r="N73" i="33"/>
  <c r="M73" i="33"/>
  <c r="L73" i="33"/>
  <c r="K73" i="33"/>
  <c r="J73" i="33"/>
  <c r="I73" i="33"/>
  <c r="F73" i="33"/>
  <c r="E73" i="33"/>
  <c r="P73" i="33" s="1"/>
  <c r="O72" i="33"/>
  <c r="F72" i="33"/>
  <c r="E72" i="33"/>
  <c r="P72" i="33" s="1"/>
  <c r="O71" i="33"/>
  <c r="F71" i="33"/>
  <c r="E71" i="33"/>
  <c r="P71" i="33" s="1"/>
  <c r="O70" i="33"/>
  <c r="F70" i="33"/>
  <c r="E70" i="33"/>
  <c r="P70" i="33" s="1"/>
  <c r="O69" i="33"/>
  <c r="F69" i="33"/>
  <c r="E69" i="33"/>
  <c r="P69" i="33" s="1"/>
  <c r="O68" i="33"/>
  <c r="F68" i="33"/>
  <c r="E68" i="33"/>
  <c r="P68" i="33" s="1"/>
  <c r="O67" i="33"/>
  <c r="F67" i="33"/>
  <c r="E67" i="33"/>
  <c r="P67" i="33" s="1"/>
  <c r="O66" i="33"/>
  <c r="F66" i="33"/>
  <c r="E66" i="33"/>
  <c r="P66" i="33" s="1"/>
  <c r="O65" i="33"/>
  <c r="F65" i="33"/>
  <c r="E65" i="33"/>
  <c r="P65" i="33" s="1"/>
  <c r="P64" i="33"/>
  <c r="E63" i="33"/>
  <c r="B62" i="33"/>
  <c r="J61" i="33"/>
  <c r="J59" i="33" s="1"/>
  <c r="B61" i="33"/>
  <c r="E60" i="33"/>
  <c r="B60" i="33"/>
  <c r="N59" i="33"/>
  <c r="M59" i="33"/>
  <c r="L59" i="33"/>
  <c r="K59" i="33"/>
  <c r="I59" i="33"/>
  <c r="H59" i="33"/>
  <c r="B59" i="33"/>
  <c r="B58" i="33"/>
  <c r="E61" i="33" s="1"/>
  <c r="E57" i="33"/>
  <c r="B57" i="33"/>
  <c r="B56" i="33"/>
  <c r="N55" i="33"/>
  <c r="N53" i="33" s="1"/>
  <c r="J55" i="33"/>
  <c r="J53" i="33" s="1"/>
  <c r="B55" i="33"/>
  <c r="E54" i="33"/>
  <c r="B54" i="33"/>
  <c r="M53" i="33"/>
  <c r="L53" i="33"/>
  <c r="K53" i="33"/>
  <c r="I53" i="33"/>
  <c r="H53" i="33"/>
  <c r="B53" i="33"/>
  <c r="B52" i="33"/>
  <c r="E56" i="33" s="1"/>
  <c r="E51" i="33"/>
  <c r="B51" i="33"/>
  <c r="B50" i="33"/>
  <c r="N49" i="33"/>
  <c r="N47" i="33" s="1"/>
  <c r="I49" i="33"/>
  <c r="I47" i="33" s="1"/>
  <c r="B49" i="33"/>
  <c r="E48" i="33"/>
  <c r="B48" i="33"/>
  <c r="M47" i="33"/>
  <c r="L47" i="33"/>
  <c r="K47" i="33"/>
  <c r="J47" i="33"/>
  <c r="H47" i="33"/>
  <c r="B47" i="33"/>
  <c r="B46" i="33"/>
  <c r="E50" i="33" s="1"/>
  <c r="B45" i="33"/>
  <c r="B44" i="33"/>
  <c r="N43" i="33"/>
  <c r="N41" i="33" s="1"/>
  <c r="N33" i="33" s="1"/>
  <c r="J43" i="33"/>
  <c r="J41" i="33" s="1"/>
  <c r="J33" i="33" s="1"/>
  <c r="I43" i="33"/>
  <c r="B43" i="33"/>
  <c r="E42" i="33"/>
  <c r="M41" i="33"/>
  <c r="M33" i="33" s="1"/>
  <c r="L41" i="33"/>
  <c r="L33" i="33" s="1"/>
  <c r="K41" i="33"/>
  <c r="I41" i="33"/>
  <c r="I33" i="33" s="1"/>
  <c r="H41" i="33"/>
  <c r="H33" i="33" s="1"/>
  <c r="B40" i="33"/>
  <c r="E44" i="33" s="1"/>
  <c r="B34" i="33"/>
  <c r="O33" i="33"/>
  <c r="K33" i="33"/>
  <c r="F33" i="33"/>
  <c r="E33" i="33"/>
  <c r="B63" i="33" s="1"/>
  <c r="O32" i="33"/>
  <c r="F32" i="33"/>
  <c r="E32" i="33"/>
  <c r="O31" i="33"/>
  <c r="F31" i="33"/>
  <c r="E31" i="33"/>
  <c r="O30" i="33"/>
  <c r="F30" i="33"/>
  <c r="E30" i="33"/>
  <c r="H27" i="33"/>
  <c r="H26" i="33"/>
  <c r="H25" i="33"/>
  <c r="E22" i="33"/>
  <c r="E21" i="33"/>
  <c r="E7" i="33"/>
  <c r="E6" i="33"/>
  <c r="E5" i="33"/>
  <c r="E4" i="33"/>
  <c r="N3" i="33"/>
  <c r="M3" i="33"/>
  <c r="L3" i="33"/>
  <c r="K3" i="33"/>
  <c r="J3"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S37" i="32"/>
  <c r="AD36" i="32"/>
  <c r="V36" i="32"/>
  <c r="S36" i="32"/>
  <c r="AD34" i="32"/>
  <c r="V34" i="32"/>
  <c r="AD33" i="32"/>
  <c r="V33" i="32"/>
  <c r="S33" i="32"/>
  <c r="AD32" i="32"/>
  <c r="V32" i="32"/>
  <c r="S32" i="32"/>
  <c r="AD31" i="32"/>
  <c r="V31" i="32"/>
  <c r="S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S33" i="31"/>
  <c r="AG32" i="31"/>
  <c r="V32" i="31"/>
  <c r="S32" i="31"/>
  <c r="AG30" i="31"/>
  <c r="V30" i="31"/>
  <c r="AG29" i="31"/>
  <c r="V29" i="31"/>
  <c r="S29" i="31"/>
  <c r="AG28" i="31"/>
  <c r="V28" i="31"/>
  <c r="S28" i="31"/>
  <c r="AG27" i="31"/>
  <c r="V27" i="31"/>
  <c r="S27" i="31"/>
  <c r="S25" i="31"/>
  <c r="S24" i="31"/>
  <c r="AM16" i="31"/>
  <c r="AV13" i="31"/>
  <c r="AV12" i="31"/>
  <c r="AV11" i="31"/>
  <c r="AV10" i="31"/>
  <c r="AV9" i="31"/>
  <c r="AV8" i="31"/>
  <c r="AM8" i="31"/>
  <c r="AB8" i="31"/>
  <c r="AV7" i="31"/>
  <c r="AS7" i="31"/>
  <c r="K7" i="31"/>
  <c r="S7" i="31" s="1"/>
  <c r="AV6" i="31"/>
  <c r="J6" i="31"/>
  <c r="S6" i="31" s="1"/>
  <c r="AV5" i="31"/>
  <c r="I5" i="31"/>
  <c r="S5" i="31" s="1"/>
  <c r="AV4" i="31"/>
  <c r="AG4" i="31"/>
  <c r="S4" i="3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S33" i="30"/>
  <c r="AG32" i="30"/>
  <c r="V32" i="30"/>
  <c r="S32" i="30"/>
  <c r="AG30" i="30"/>
  <c r="V30" i="30"/>
  <c r="AG29" i="30"/>
  <c r="V29" i="30"/>
  <c r="S29" i="30"/>
  <c r="AG28" i="30"/>
  <c r="V28" i="30"/>
  <c r="S28" i="30"/>
  <c r="AG27" i="30"/>
  <c r="V27" i="30"/>
  <c r="S27" i="30"/>
  <c r="S25" i="30"/>
  <c r="S24" i="30"/>
  <c r="AV13" i="30"/>
  <c r="AV12" i="30"/>
  <c r="AV11" i="30"/>
  <c r="AV10" i="30"/>
  <c r="AV9" i="30"/>
  <c r="AV8" i="30"/>
  <c r="AV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S37" i="29"/>
  <c r="AD36" i="29"/>
  <c r="V36" i="29"/>
  <c r="S36" i="29"/>
  <c r="AD34" i="29"/>
  <c r="V34" i="29"/>
  <c r="AD33" i="29"/>
  <c r="V33" i="29"/>
  <c r="S33" i="29"/>
  <c r="AD32" i="29"/>
  <c r="V32" i="29"/>
  <c r="S32" i="29"/>
  <c r="AD31" i="29"/>
  <c r="V31" i="29"/>
  <c r="S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S33" i="28"/>
  <c r="AC32" i="28"/>
  <c r="V32" i="28"/>
  <c r="S32" i="28"/>
  <c r="AC30" i="28"/>
  <c r="V30" i="28"/>
  <c r="AC29" i="28"/>
  <c r="V29" i="28"/>
  <c r="S29" i="28"/>
  <c r="AC28" i="28"/>
  <c r="V28" i="28"/>
  <c r="S28" i="28"/>
  <c r="AC27" i="28"/>
  <c r="V27" i="28"/>
  <c r="S27" i="28"/>
  <c r="S25" i="28"/>
  <c r="S24" i="28"/>
  <c r="AE16" i="28"/>
  <c r="AN13" i="28"/>
  <c r="AN12" i="28"/>
  <c r="AN11" i="28"/>
  <c r="AN10" i="28"/>
  <c r="AN9" i="28"/>
  <c r="AN8" i="28"/>
  <c r="AE8" i="28"/>
  <c r="X8" i="28"/>
  <c r="AN7" i="28"/>
  <c r="AK7" i="28"/>
  <c r="AN6" i="28"/>
  <c r="AN5" i="28"/>
  <c r="AN4" i="28"/>
  <c r="AC4" i="28"/>
  <c r="S4" i="28"/>
  <c r="I5" i="28" s="1"/>
  <c r="J6" i="28" s="1"/>
  <c r="S6"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S33" i="27"/>
  <c r="AC32" i="27"/>
  <c r="V32" i="27"/>
  <c r="S32" i="27"/>
  <c r="AC30" i="27"/>
  <c r="V30" i="27"/>
  <c r="AC29" i="27"/>
  <c r="V29" i="27"/>
  <c r="S29" i="27"/>
  <c r="AC28" i="27"/>
  <c r="V28" i="27"/>
  <c r="S28" i="27"/>
  <c r="AC27" i="27"/>
  <c r="V27" i="27"/>
  <c r="S27" i="27"/>
  <c r="S25" i="27"/>
  <c r="S24" i="27"/>
  <c r="AE16" i="27"/>
  <c r="AN13" i="27"/>
  <c r="AN12" i="27"/>
  <c r="AN11" i="27"/>
  <c r="AN10" i="27"/>
  <c r="AN9" i="27"/>
  <c r="AN8" i="27"/>
  <c r="AE8" i="27"/>
  <c r="X8" i="27"/>
  <c r="AN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3" i="25"/>
  <c r="AN52" i="25"/>
  <c r="AN51" i="25"/>
  <c r="AN50" i="25"/>
  <c r="AN49" i="25"/>
  <c r="AN48" i="25"/>
  <c r="AN47" i="25"/>
  <c r="AE47" i="25"/>
  <c r="X47" i="25"/>
  <c r="AN46" i="25"/>
  <c r="AK46" i="25"/>
  <c r="AN45" i="25"/>
  <c r="AN44" i="25"/>
  <c r="AN43" i="25"/>
  <c r="AN42" i="25"/>
  <c r="AN41" i="25"/>
  <c r="AK41" i="25"/>
  <c r="U40" i="25"/>
  <c r="V40" i="25" s="1"/>
  <c r="W40" i="25" s="1"/>
  <c r="X40" i="25" s="1"/>
  <c r="Y40" i="25" s="1"/>
  <c r="Z40" i="25" s="1"/>
  <c r="AB40" i="25" s="1"/>
  <c r="AC40" i="25" s="1"/>
  <c r="AD40" i="25" s="1"/>
  <c r="AE40" i="25" s="1"/>
  <c r="AF40" i="25" s="1"/>
  <c r="AG40" i="25" s="1"/>
  <c r="AI40" i="25" s="1"/>
  <c r="AJ40" i="25" s="1"/>
  <c r="AK40" i="25" s="1"/>
  <c r="AC33" i="25"/>
  <c r="V33" i="25"/>
  <c r="S33" i="25"/>
  <c r="AC32" i="25"/>
  <c r="V32" i="25"/>
  <c r="S32" i="25"/>
  <c r="AC30" i="25"/>
  <c r="V30" i="25"/>
  <c r="AC29" i="25"/>
  <c r="V29" i="25"/>
  <c r="S29" i="25"/>
  <c r="AC28" i="25"/>
  <c r="V28" i="25"/>
  <c r="S28" i="25"/>
  <c r="AC27" i="25"/>
  <c r="V27" i="25"/>
  <c r="S27" i="25"/>
  <c r="S25" i="25"/>
  <c r="S24" i="25"/>
  <c r="AE16" i="25"/>
  <c r="AN13" i="25"/>
  <c r="AN12" i="25"/>
  <c r="AN11" i="25"/>
  <c r="AN10" i="25"/>
  <c r="AN9" i="25"/>
  <c r="AN8" i="25"/>
  <c r="AE8" i="25"/>
  <c r="X8" i="25"/>
  <c r="AN7" i="25"/>
  <c r="AK7" i="25"/>
  <c r="AN6" i="25"/>
  <c r="AN5" i="25"/>
  <c r="AN4" i="25"/>
  <c r="AC4" i="25"/>
  <c r="S4" i="25"/>
  <c r="I5" i="25" s="1"/>
  <c r="AN3" i="25"/>
  <c r="AC3" i="25"/>
  <c r="S3" i="25"/>
  <c r="AN2" i="25"/>
  <c r="AK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S33" i="24"/>
  <c r="AC32" i="24"/>
  <c r="V32" i="24"/>
  <c r="S32" i="24"/>
  <c r="AC30" i="24"/>
  <c r="V30" i="24"/>
  <c r="AC29" i="24"/>
  <c r="V29" i="24"/>
  <c r="S29" i="24"/>
  <c r="AC28" i="24"/>
  <c r="V28" i="24"/>
  <c r="S28" i="24"/>
  <c r="AC27" i="24"/>
  <c r="V27" i="24"/>
  <c r="S27" i="24"/>
  <c r="S25" i="24"/>
  <c r="S24" i="24"/>
  <c r="AE16" i="24"/>
  <c r="AN13" i="24"/>
  <c r="AN12" i="24"/>
  <c r="AN11" i="24"/>
  <c r="AN10" i="24"/>
  <c r="AN9" i="24"/>
  <c r="AN8" i="24"/>
  <c r="AE8" i="24"/>
  <c r="X8" i="24"/>
  <c r="AN7" i="24"/>
  <c r="AK7" i="24"/>
  <c r="AN6" i="24"/>
  <c r="AN5" i="24"/>
  <c r="I5" i="24"/>
  <c r="J6" i="24" s="1"/>
  <c r="AN4" i="24"/>
  <c r="AC4" i="24"/>
  <c r="S4" i="24"/>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S33" i="23"/>
  <c r="AC32" i="23"/>
  <c r="V32" i="23"/>
  <c r="S32" i="23"/>
  <c r="AC30" i="23"/>
  <c r="V30" i="23"/>
  <c r="AC29" i="23"/>
  <c r="V29" i="23"/>
  <c r="S29" i="23"/>
  <c r="AC28" i="23"/>
  <c r="V28" i="23"/>
  <c r="S28" i="23"/>
  <c r="AC27" i="23"/>
  <c r="V27" i="23"/>
  <c r="S27" i="23"/>
  <c r="S25" i="23"/>
  <c r="S24" i="23"/>
  <c r="AE16" i="23"/>
  <c r="AN13" i="23"/>
  <c r="AN12" i="23"/>
  <c r="AN11" i="23"/>
  <c r="AN10" i="23"/>
  <c r="AN9" i="23"/>
  <c r="AN8" i="23"/>
  <c r="AE8" i="23"/>
  <c r="X8" i="23"/>
  <c r="AN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S33" i="22"/>
  <c r="AC32" i="22"/>
  <c r="V32" i="22"/>
  <c r="S32" i="22"/>
  <c r="AC30" i="22"/>
  <c r="V30" i="22"/>
  <c r="AC29" i="22"/>
  <c r="V29" i="22"/>
  <c r="S29" i="22"/>
  <c r="AC28" i="22"/>
  <c r="V28" i="22"/>
  <c r="S28" i="22"/>
  <c r="AC27" i="22"/>
  <c r="V27" i="22"/>
  <c r="S27" i="22"/>
  <c r="S25" i="22"/>
  <c r="S24" i="22"/>
  <c r="AE16" i="22"/>
  <c r="AN13" i="22"/>
  <c r="AN12" i="22"/>
  <c r="AN11" i="22"/>
  <c r="AN10" i="22"/>
  <c r="AN9" i="22"/>
  <c r="AN8" i="22"/>
  <c r="AE8" i="22"/>
  <c r="X8" i="22"/>
  <c r="AN7" i="22"/>
  <c r="AK7" i="22"/>
  <c r="AN6" i="22"/>
  <c r="AN5" i="22"/>
  <c r="I5" i="22"/>
  <c r="J6" i="22" s="1"/>
  <c r="AN4" i="22"/>
  <c r="AC4" i="22"/>
  <c r="S4" i="22"/>
  <c r="AN3" i="22"/>
  <c r="AC3" i="22"/>
  <c r="S3" i="22"/>
  <c r="AN2" i="22"/>
  <c r="AK2" i="22"/>
  <c r="AC2" i="22"/>
  <c r="S2" i="22"/>
  <c r="AN56" i="21"/>
  <c r="AN55" i="21"/>
  <c r="AN54" i="21"/>
  <c r="AN53" i="21"/>
  <c r="AN52" i="21"/>
  <c r="AN51" i="21"/>
  <c r="AN50" i="21"/>
  <c r="AN49" i="21"/>
  <c r="AN48" i="21"/>
  <c r="AN47" i="21"/>
  <c r="AN46" i="21"/>
  <c r="AN45" i="21"/>
  <c r="AN44" i="21"/>
  <c r="AN43" i="21"/>
  <c r="AN42" i="21"/>
  <c r="AK42" i="21"/>
  <c r="AD41" i="21"/>
  <c r="AE41" i="21" s="1"/>
  <c r="AF41" i="21" s="1"/>
  <c r="AG41" i="21" s="1"/>
  <c r="AI41" i="21" s="1"/>
  <c r="AJ41" i="21" s="1"/>
  <c r="AK41" i="21" s="1"/>
  <c r="U41" i="21"/>
  <c r="V41" i="21" s="1"/>
  <c r="W41" i="21" s="1"/>
  <c r="X41" i="21" s="1"/>
  <c r="Y41" i="21" s="1"/>
  <c r="AA41" i="21" s="1"/>
  <c r="V39" i="21"/>
  <c r="V33" i="21"/>
  <c r="S33" i="21"/>
  <c r="V32" i="21"/>
  <c r="S32" i="21"/>
  <c r="V30" i="21"/>
  <c r="V29" i="21"/>
  <c r="S29" i="21"/>
  <c r="V28" i="21"/>
  <c r="S28" i="21"/>
  <c r="V27" i="21"/>
  <c r="S27" i="21"/>
  <c r="S25" i="21"/>
  <c r="S24" i="21"/>
  <c r="AN14" i="21"/>
  <c r="AN13" i="21"/>
  <c r="AN12" i="21"/>
  <c r="AN11" i="21"/>
  <c r="AN10" i="21"/>
  <c r="AN9" i="21"/>
  <c r="AN8" i="21"/>
  <c r="K8" i="21"/>
  <c r="S8" i="21" s="1"/>
  <c r="AN7" i="21"/>
  <c r="AN6" i="21"/>
  <c r="I6" i="21"/>
  <c r="AN5" i="21"/>
  <c r="AC5" i="21"/>
  <c r="S5" i="21"/>
  <c r="J7" i="21" s="1"/>
  <c r="AN4" i="21"/>
  <c r="AC4" i="21"/>
  <c r="S4" i="21"/>
  <c r="AN3" i="21"/>
  <c r="AC3" i="21"/>
  <c r="S3" i="21"/>
  <c r="AN2" i="21"/>
  <c r="AC2" i="21"/>
  <c r="S2" i="21"/>
  <c r="AX62" i="20"/>
  <c r="AX61" i="20"/>
  <c r="AX60" i="20"/>
  <c r="AX59" i="20"/>
  <c r="AX58" i="20"/>
  <c r="AX57" i="20"/>
  <c r="AX56" i="20"/>
  <c r="AX55" i="20"/>
  <c r="AX54" i="20"/>
  <c r="AO54" i="20"/>
  <c r="W54" i="20"/>
  <c r="AX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S36" i="20"/>
  <c r="AB35" i="20"/>
  <c r="V35" i="20"/>
  <c r="S35" i="20"/>
  <c r="AB33" i="20"/>
  <c r="V33" i="20"/>
  <c r="AB32" i="20"/>
  <c r="V32" i="20"/>
  <c r="S32" i="20"/>
  <c r="AB31" i="20"/>
  <c r="V31" i="20"/>
  <c r="S31" i="20"/>
  <c r="AB30" i="20"/>
  <c r="V30" i="20"/>
  <c r="S30" i="20"/>
  <c r="S28" i="20"/>
  <c r="S27" i="20"/>
  <c r="AX17" i="20"/>
  <c r="AX16" i="20"/>
  <c r="AX15" i="20"/>
  <c r="AX14" i="20"/>
  <c r="AX13" i="20"/>
  <c r="AX12" i="20"/>
  <c r="AX11" i="20"/>
  <c r="AO11" i="20"/>
  <c r="W11" i="20"/>
  <c r="AX8" i="20"/>
  <c r="K8" i="20"/>
  <c r="S8" i="20" s="1"/>
  <c r="AX7" i="20"/>
  <c r="J7" i="20"/>
  <c r="AX6" i="20"/>
  <c r="I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U39" i="19"/>
  <c r="AG38" i="19"/>
  <c r="X38" i="19"/>
  <c r="U38" i="19"/>
  <c r="AG36" i="19"/>
  <c r="X36" i="19"/>
  <c r="AG35" i="19"/>
  <c r="X35" i="19"/>
  <c r="U35" i="19"/>
  <c r="AG34" i="19"/>
  <c r="X34" i="19"/>
  <c r="U34" i="19"/>
  <c r="AG33" i="19"/>
  <c r="X33" i="19"/>
  <c r="U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S35" i="18"/>
  <c r="AD34" i="18"/>
  <c r="V34" i="18"/>
  <c r="S34" i="18"/>
  <c r="AD32" i="18"/>
  <c r="V32" i="18"/>
  <c r="AD31" i="18"/>
  <c r="V31" i="18"/>
  <c r="S31" i="18"/>
  <c r="AD30" i="18"/>
  <c r="V30" i="18"/>
  <c r="S30" i="18"/>
  <c r="AD29" i="18"/>
  <c r="V29" i="18"/>
  <c r="S29" i="18"/>
  <c r="S27" i="18"/>
  <c r="S26" i="18"/>
  <c r="AG18" i="18"/>
  <c r="AP15" i="18"/>
  <c r="AP14" i="18"/>
  <c r="AP13" i="18"/>
  <c r="AP12" i="18"/>
  <c r="AP11" i="18"/>
  <c r="AP10" i="18"/>
  <c r="AP9" i="18"/>
  <c r="AG9" i="18"/>
  <c r="Y9" i="18"/>
  <c r="AP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D45" i="17"/>
  <c r="AP44" i="17"/>
  <c r="AP43" i="17"/>
  <c r="AM43" i="17"/>
  <c r="S43" i="17"/>
  <c r="AF42" i="17"/>
  <c r="AG42" i="17" s="1"/>
  <c r="AH42" i="17" s="1"/>
  <c r="AI42" i="17" s="1"/>
  <c r="AK42" i="17" s="1"/>
  <c r="AL42" i="17" s="1"/>
  <c r="AM42" i="17" s="1"/>
  <c r="X42" i="17"/>
  <c r="Y42" i="17" s="1"/>
  <c r="Z42" i="17" s="1"/>
  <c r="AA42" i="17" s="1"/>
  <c r="AC42" i="17" s="1"/>
  <c r="AD42" i="17" s="1"/>
  <c r="U42" i="17"/>
  <c r="V42" i="17" s="1"/>
  <c r="AD35" i="17"/>
  <c r="V35" i="17"/>
  <c r="S35" i="17"/>
  <c r="AD34" i="17"/>
  <c r="V34" i="17"/>
  <c r="S34" i="17"/>
  <c r="AD32" i="17"/>
  <c r="V32" i="17"/>
  <c r="AD31" i="17"/>
  <c r="V31" i="17"/>
  <c r="S31" i="17"/>
  <c r="AD30" i="17"/>
  <c r="V30" i="17"/>
  <c r="S30" i="17"/>
  <c r="AD29" i="17"/>
  <c r="V29" i="17"/>
  <c r="S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D43" i="16"/>
  <c r="AF42" i="16"/>
  <c r="AG42" i="16" s="1"/>
  <c r="AH42" i="16" s="1"/>
  <c r="AI42" i="16" s="1"/>
  <c r="AK42" i="16" s="1"/>
  <c r="AL42" i="16" s="1"/>
  <c r="AM42" i="16" s="1"/>
  <c r="X42" i="16"/>
  <c r="Y42" i="16" s="1"/>
  <c r="Z42" i="16" s="1"/>
  <c r="AA42" i="16" s="1"/>
  <c r="AC42" i="16" s="1"/>
  <c r="AD42" i="16" s="1"/>
  <c r="U42" i="16"/>
  <c r="V42" i="16" s="1"/>
  <c r="AD35" i="16"/>
  <c r="V35" i="16"/>
  <c r="S35" i="16"/>
  <c r="AD34" i="16"/>
  <c r="V34" i="16"/>
  <c r="S34" i="16"/>
  <c r="AD32" i="16"/>
  <c r="V32" i="16"/>
  <c r="AD31" i="16"/>
  <c r="V31" i="16"/>
  <c r="S31" i="16"/>
  <c r="AD30" i="16"/>
  <c r="V30" i="16"/>
  <c r="S30" i="16"/>
  <c r="AD29" i="16"/>
  <c r="V29" i="16"/>
  <c r="S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AD46" i="15"/>
  <c r="AP45" i="15"/>
  <c r="S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S35" i="15"/>
  <c r="AD34" i="15"/>
  <c r="V34" i="15"/>
  <c r="S34" i="15"/>
  <c r="AD32" i="15"/>
  <c r="V32" i="15"/>
  <c r="AD31" i="15"/>
  <c r="V31" i="15"/>
  <c r="S31" i="15"/>
  <c r="AD30" i="15"/>
  <c r="V30" i="15"/>
  <c r="S30" i="15"/>
  <c r="AD29" i="15"/>
  <c r="V29" i="15"/>
  <c r="S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S35" i="14"/>
  <c r="AD34" i="14"/>
  <c r="V34" i="14"/>
  <c r="S34" i="14"/>
  <c r="AD32" i="14"/>
  <c r="V32" i="14"/>
  <c r="AD31" i="14"/>
  <c r="V31" i="14"/>
  <c r="S31" i="14"/>
  <c r="AD30" i="14"/>
  <c r="V30" i="14"/>
  <c r="S30" i="14"/>
  <c r="AD29" i="14"/>
  <c r="V29" i="14"/>
  <c r="S29" i="14"/>
  <c r="S27" i="14"/>
  <c r="S26" i="14"/>
  <c r="AG18" i="14"/>
  <c r="AP15" i="14"/>
  <c r="AP14" i="14"/>
  <c r="AP13" i="14"/>
  <c r="AP12" i="14"/>
  <c r="AP11" i="14"/>
  <c r="AP10" i="14"/>
  <c r="AP9" i="14"/>
  <c r="AG9" i="14"/>
  <c r="Y9" i="14"/>
  <c r="AP8" i="14"/>
  <c r="AP7" i="14"/>
  <c r="AP6" i="14"/>
  <c r="I6" i="14"/>
  <c r="J7"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D44" i="13"/>
  <c r="AP43" i="13"/>
  <c r="AM43" i="13"/>
  <c r="AD43" i="13"/>
  <c r="AF42" i="13"/>
  <c r="AG42" i="13" s="1"/>
  <c r="AH42" i="13" s="1"/>
  <c r="AI42" i="13" s="1"/>
  <c r="AK42" i="13" s="1"/>
  <c r="AL42" i="13" s="1"/>
  <c r="AM42" i="13" s="1"/>
  <c r="X42" i="13"/>
  <c r="Y42" i="13" s="1"/>
  <c r="Z42" i="13" s="1"/>
  <c r="AA42" i="13" s="1"/>
  <c r="AC42" i="13" s="1"/>
  <c r="AD42" i="13" s="1"/>
  <c r="U42" i="13"/>
  <c r="V42" i="13" s="1"/>
  <c r="AD35" i="13"/>
  <c r="V35" i="13"/>
  <c r="S35" i="13"/>
  <c r="AD34" i="13"/>
  <c r="V34" i="13"/>
  <c r="S34" i="13"/>
  <c r="AD32" i="13"/>
  <c r="V32" i="13"/>
  <c r="AD31" i="13"/>
  <c r="V31" i="13"/>
  <c r="S31" i="13"/>
  <c r="AD30" i="13"/>
  <c r="V30" i="13"/>
  <c r="S30" i="13"/>
  <c r="AD29" i="13"/>
  <c r="V29" i="13"/>
  <c r="S29" i="13"/>
  <c r="S27" i="13"/>
  <c r="S26" i="13"/>
  <c r="AG18" i="13"/>
  <c r="AP15" i="13"/>
  <c r="AP14" i="13"/>
  <c r="AP13" i="13"/>
  <c r="AP12" i="13"/>
  <c r="AP11" i="13"/>
  <c r="AP10" i="13"/>
  <c r="AP9" i="13"/>
  <c r="AG9" i="13"/>
  <c r="Y9" i="13"/>
  <c r="AP8" i="13"/>
  <c r="AP7" i="13"/>
  <c r="J7" i="13"/>
  <c r="K8" i="13" s="1"/>
  <c r="S8" i="13" s="1"/>
  <c r="AP6" i="13"/>
  <c r="I6" i="13"/>
  <c r="S6"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D45" i="12"/>
  <c r="AP44" i="12"/>
  <c r="AP43" i="12"/>
  <c r="AM43" i="12"/>
  <c r="S43" i="12"/>
  <c r="AF42" i="12"/>
  <c r="AG42" i="12" s="1"/>
  <c r="AH42" i="12" s="1"/>
  <c r="AI42" i="12" s="1"/>
  <c r="AK42" i="12" s="1"/>
  <c r="AL42" i="12" s="1"/>
  <c r="AM42" i="12" s="1"/>
  <c r="X42" i="12"/>
  <c r="Y42" i="12" s="1"/>
  <c r="Z42" i="12" s="1"/>
  <c r="AA42" i="12" s="1"/>
  <c r="AC42" i="12" s="1"/>
  <c r="AD42" i="12" s="1"/>
  <c r="U42" i="12"/>
  <c r="V42" i="12" s="1"/>
  <c r="AD35" i="12"/>
  <c r="V35" i="12"/>
  <c r="S35" i="12"/>
  <c r="AD34" i="12"/>
  <c r="V34" i="12"/>
  <c r="S34" i="12"/>
  <c r="AD32" i="12"/>
  <c r="V32" i="12"/>
  <c r="AD31" i="12"/>
  <c r="V31" i="12"/>
  <c r="S31" i="12"/>
  <c r="AD30" i="12"/>
  <c r="V30" i="12"/>
  <c r="S30" i="12"/>
  <c r="AD29" i="12"/>
  <c r="V29" i="12"/>
  <c r="S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S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S35" i="11"/>
  <c r="AD34" i="11"/>
  <c r="V34" i="11"/>
  <c r="S34" i="11"/>
  <c r="AD32" i="11"/>
  <c r="V32" i="11"/>
  <c r="AD31" i="11"/>
  <c r="V31" i="11"/>
  <c r="S31" i="11"/>
  <c r="AD30" i="11"/>
  <c r="V30" i="11"/>
  <c r="S30" i="11"/>
  <c r="AD29" i="11"/>
  <c r="V29" i="11"/>
  <c r="S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A33" i="7"/>
  <c r="D33" i="7" s="1"/>
  <c r="G29" i="7"/>
  <c r="G28" i="7"/>
  <c r="G27" i="7"/>
  <c r="D22" i="7"/>
  <c r="D19" i="7"/>
  <c r="D21"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5" s="1"/>
  <c r="I44" i="25" s="1"/>
  <c r="AO94" i="5"/>
  <c r="S42" i="25" s="1"/>
  <c r="AN94" i="5"/>
  <c r="S41" i="25" s="1"/>
  <c r="AM94" i="5"/>
  <c r="AL94" i="5"/>
  <c r="AC43" i="25" s="1"/>
  <c r="AK94" i="5"/>
  <c r="AC42" i="25" s="1"/>
  <c r="AJ94" i="5"/>
  <c r="AI94" i="5"/>
  <c r="AH94" i="5"/>
  <c r="AQ89" i="5"/>
  <c r="AP89" i="5"/>
  <c r="S43" i="24" s="1"/>
  <c r="I44" i="24" s="1"/>
  <c r="AO89" i="5"/>
  <c r="S42" i="24" s="1"/>
  <c r="AN89" i="5"/>
  <c r="S41" i="24" s="1"/>
  <c r="AM89" i="5"/>
  <c r="AL89" i="5"/>
  <c r="AC43" i="24" s="1"/>
  <c r="AK89" i="5"/>
  <c r="AC42" i="24" s="1"/>
  <c r="AJ89" i="5"/>
  <c r="AI89" i="5"/>
  <c r="AH89" i="5"/>
  <c r="AQ84" i="5"/>
  <c r="AP84" i="5"/>
  <c r="S43" i="23" s="1"/>
  <c r="I44" i="23" s="1"/>
  <c r="AO84" i="5"/>
  <c r="S42" i="23" s="1"/>
  <c r="AN84" i="5"/>
  <c r="S41" i="23" s="1"/>
  <c r="AM84" i="5"/>
  <c r="AL84" i="5"/>
  <c r="AC43" i="23" s="1"/>
  <c r="AK84" i="5"/>
  <c r="AC42" i="23" s="1"/>
  <c r="AJ84" i="5"/>
  <c r="AI84" i="5"/>
  <c r="AH84" i="5"/>
  <c r="AQ79" i="5"/>
  <c r="AP79" i="5"/>
  <c r="S43" i="22" s="1"/>
  <c r="I44" i="22" s="1"/>
  <c r="AO79" i="5"/>
  <c r="S42" i="22" s="1"/>
  <c r="AN79" i="5"/>
  <c r="S41" i="22" s="1"/>
  <c r="AM79" i="5"/>
  <c r="AL79" i="5"/>
  <c r="AC43" i="22" s="1"/>
  <c r="AK79" i="5"/>
  <c r="AC42" i="22" s="1"/>
  <c r="AJ79" i="5"/>
  <c r="AI79" i="5"/>
  <c r="AH79" i="5"/>
  <c r="AQ63" i="5"/>
  <c r="S46" i="14" s="1"/>
  <c r="I47" i="14" s="1"/>
  <c r="AP63" i="5"/>
  <c r="S45" i="13" s="1"/>
  <c r="AO63" i="5"/>
  <c r="S44" i="13" s="1"/>
  <c r="AN63" i="5"/>
  <c r="S43" i="13" s="1"/>
  <c r="AM63" i="5"/>
  <c r="AD46" i="13" s="1"/>
  <c r="AL63" i="5"/>
  <c r="AD45" i="13" s="1"/>
  <c r="AK63" i="5"/>
  <c r="AD44" i="14" s="1"/>
  <c r="AJ63" i="5"/>
  <c r="AD43" i="14" s="1"/>
  <c r="AI63" i="5"/>
  <c r="AH63" i="5"/>
  <c r="AQ58" i="5"/>
  <c r="S45" i="21" s="1"/>
  <c r="AP58" i="5"/>
  <c r="S44" i="21" s="1"/>
  <c r="AO58" i="5"/>
  <c r="S43" i="21" s="1"/>
  <c r="AN58" i="5"/>
  <c r="S42" i="21" s="1"/>
  <c r="AM58" i="5"/>
  <c r="AC45" i="21" s="1"/>
  <c r="AL58" i="5"/>
  <c r="AC44" i="21" s="1"/>
  <c r="AK58" i="5"/>
  <c r="AC43" i="21"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AO48" i="5"/>
  <c r="S44" i="15" s="1"/>
  <c r="AN48" i="5"/>
  <c r="S43" i="15" s="1"/>
  <c r="AM48" i="5"/>
  <c r="AL48" i="5"/>
  <c r="AD45" i="15" s="1"/>
  <c r="AK48" i="5"/>
  <c r="AD44" i="15" s="1"/>
  <c r="AJ48" i="5"/>
  <c r="AD43" i="15" s="1"/>
  <c r="AI48" i="5"/>
  <c r="AH48" i="5"/>
  <c r="AQ43" i="5"/>
  <c r="S46"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AM38" i="5"/>
  <c r="AD46" i="17" s="1"/>
  <c r="AL38" i="5"/>
  <c r="AK38" i="5"/>
  <c r="AD44" i="17" s="1"/>
  <c r="AJ38" i="5"/>
  <c r="AD43" i="17" s="1"/>
  <c r="AI38" i="5"/>
  <c r="AH38" i="5"/>
  <c r="AQ33" i="5"/>
  <c r="U52" i="19" s="1"/>
  <c r="I53" i="19" s="1"/>
  <c r="J54" i="19" s="1"/>
  <c r="AP33" i="5"/>
  <c r="U51" i="19" s="1"/>
  <c r="AO33" i="5"/>
  <c r="U50" i="19" s="1"/>
  <c r="AN33" i="5"/>
  <c r="U49" i="19" s="1"/>
  <c r="AM33" i="5"/>
  <c r="AG52" i="19" s="1"/>
  <c r="AL33" i="5"/>
  <c r="AG51" i="19" s="1"/>
  <c r="AK33" i="5"/>
  <c r="AG50" i="19" s="1"/>
  <c r="AJ33" i="5"/>
  <c r="AI33" i="5"/>
  <c r="AH33" i="5"/>
  <c r="AQ28" i="5"/>
  <c r="L22" i="64" s="1"/>
  <c r="F23" i="64" s="1"/>
  <c r="AP28" i="5"/>
  <c r="L21" i="64" s="1"/>
  <c r="AO28" i="5"/>
  <c r="L20" i="64" s="1"/>
  <c r="AN28" i="5"/>
  <c r="L19" i="64" s="1"/>
  <c r="AM28" i="5"/>
  <c r="O22" i="64" s="1"/>
  <c r="AL28" i="5"/>
  <c r="O21" i="64" s="1"/>
  <c r="AK28" i="5"/>
  <c r="O20" i="64" s="1"/>
  <c r="AJ28" i="5"/>
  <c r="AI28" i="5"/>
  <c r="AH28" i="5"/>
  <c r="AQ23" i="5"/>
  <c r="AP23" i="5"/>
  <c r="AO23" i="5"/>
  <c r="AN23" i="5"/>
  <c r="AM23" i="5"/>
  <c r="AL23" i="5"/>
  <c r="AK23" i="5"/>
  <c r="AJ23" i="5"/>
  <c r="AI23" i="5"/>
  <c r="AH23" i="5"/>
  <c r="AQ18" i="5"/>
  <c r="S46" i="12" s="1"/>
  <c r="I47" i="12" s="1"/>
  <c r="AP18" i="5"/>
  <c r="S45" i="12" s="1"/>
  <c r="AO18" i="5"/>
  <c r="S44" i="12" s="1"/>
  <c r="AN18" i="5"/>
  <c r="AM18" i="5"/>
  <c r="AD46" i="12" s="1"/>
  <c r="AL18" i="5"/>
  <c r="AK18" i="5"/>
  <c r="AD44" i="12" s="1"/>
  <c r="AJ18" i="5"/>
  <c r="AD43" i="12" s="1"/>
  <c r="AI18" i="5"/>
  <c r="AH18" i="5"/>
  <c r="AQ13" i="5"/>
  <c r="S46" i="11" s="1"/>
  <c r="I47" i="11" s="1"/>
  <c r="AP13" i="5"/>
  <c r="AO13" i="5"/>
  <c r="S44" i="11" s="1"/>
  <c r="AN13" i="5"/>
  <c r="S43" i="11" s="1"/>
  <c r="AM13" i="5"/>
  <c r="AD46" i="11" s="1"/>
  <c r="AL13" i="5"/>
  <c r="AD45" i="11" s="1"/>
  <c r="AK13" i="5"/>
  <c r="AD44" i="11" s="1"/>
  <c r="AJ13" i="5"/>
  <c r="AI13" i="5"/>
  <c r="AH13" i="5"/>
  <c r="D6" i="5"/>
  <c r="D5" i="5"/>
  <c r="R26" i="4"/>
  <c r="E26" i="4"/>
  <c r="P26" i="4" s="1"/>
  <c r="R23" i="4"/>
  <c r="P23" i="4"/>
  <c r="R21" i="4"/>
  <c r="P21" i="4"/>
  <c r="E21" i="4"/>
  <c r="I19" i="4"/>
  <c r="R18" i="4"/>
  <c r="I18" i="4"/>
  <c r="Q18" i="4" s="1"/>
  <c r="E18" i="4"/>
  <c r="P18" i="4" s="1"/>
  <c r="R15" i="4"/>
  <c r="P15" i="4"/>
  <c r="R13" i="4"/>
  <c r="P13" i="4"/>
  <c r="E13" i="4"/>
  <c r="E7" i="4"/>
  <c r="D5" i="4"/>
  <c r="O18" i="3"/>
  <c r="M18" i="3" a="1"/>
  <c r="M18" i="3"/>
  <c r="E18" i="3"/>
  <c r="E17" i="3"/>
  <c r="G17" i="3" s="1"/>
  <c r="O15" i="3"/>
  <c r="M15" i="3" a="1"/>
  <c r="M15" i="3" s="1"/>
  <c r="E15" i="3"/>
  <c r="O14" i="3"/>
  <c r="M14" i="3" a="1"/>
  <c r="M14" i="3" s="1"/>
  <c r="E14" i="3"/>
  <c r="O13" i="3"/>
  <c r="M13" i="3" a="1"/>
  <c r="M13" i="3" s="1"/>
  <c r="E13" i="3"/>
  <c r="G12" i="3"/>
  <c r="I13" i="4" s="1"/>
  <c r="Q13" i="4" s="1"/>
  <c r="E12" i="3"/>
  <c r="E4" i="3"/>
  <c r="E59" i="2"/>
  <c r="E49" i="2"/>
  <c r="E41" i="2"/>
  <c r="E31" i="2"/>
  <c r="E27" i="2"/>
  <c r="E26" i="2"/>
  <c r="F25" i="2"/>
  <c r="E22" i="2"/>
  <c r="E21" i="2"/>
  <c r="F20" i="2"/>
  <c r="E19" i="2"/>
  <c r="I9" i="2"/>
  <c r="E5" i="2"/>
  <c r="D4" i="4" s="1"/>
  <c r="E3" i="2"/>
  <c r="E2" i="2"/>
  <c r="M2" i="55"/>
  <c r="AT47" i="30"/>
  <c r="AL7" i="28"/>
  <c r="AL46" i="23"/>
  <c r="AL46" i="28"/>
  <c r="AL7" i="24"/>
  <c r="AR56" i="19"/>
  <c r="AN49" i="14"/>
  <c r="AN8" i="17"/>
  <c r="AR55" i="19"/>
  <c r="AN49" i="12"/>
  <c r="M10" i="55"/>
  <c r="AT7" i="31"/>
  <c r="AL48" i="21"/>
  <c r="AV8" i="20"/>
  <c r="AL46" i="24"/>
  <c r="AN49" i="18"/>
  <c r="AN49" i="13"/>
  <c r="AN8" i="13"/>
  <c r="M2" i="54"/>
  <c r="AL46" i="27"/>
  <c r="AL7" i="27"/>
  <c r="AL7" i="23"/>
  <c r="AL8" i="21"/>
  <c r="AL46" i="22"/>
  <c r="AN8" i="18"/>
  <c r="AN8" i="11"/>
  <c r="AN49" i="15"/>
  <c r="AR8" i="19"/>
  <c r="J13" i="3"/>
  <c r="AL7" i="25"/>
  <c r="AN8" i="15"/>
  <c r="AN49" i="11"/>
  <c r="Y25" i="64"/>
  <c r="M10" i="54"/>
  <c r="AT47" i="31"/>
  <c r="AL46" i="25"/>
  <c r="AV51" i="20"/>
  <c r="AT7" i="30"/>
  <c r="AL7" i="22"/>
  <c r="AN49" i="16"/>
  <c r="AN8" i="14"/>
  <c r="AN8" i="12"/>
  <c r="AN8" i="16"/>
  <c r="AN49" i="17"/>
  <c r="K10" i="50" l="1"/>
  <c r="J11" i="37"/>
  <c r="K8" i="39"/>
  <c r="N11" i="35"/>
  <c r="J26" i="33"/>
  <c r="I10" i="45"/>
  <c r="H58" i="34"/>
  <c r="K27" i="40"/>
  <c r="J11" i="38"/>
  <c r="S7" i="14"/>
  <c r="K8" i="14"/>
  <c r="S8" i="14" s="1"/>
  <c r="S47" i="11"/>
  <c r="J48" i="11"/>
  <c r="S6" i="12"/>
  <c r="J7" i="12"/>
  <c r="S7" i="18"/>
  <c r="K8" i="18"/>
  <c r="S8" i="18" s="1"/>
  <c r="K9" i="45"/>
  <c r="O26" i="40"/>
  <c r="L10" i="38"/>
  <c r="L10" i="37"/>
  <c r="H103" i="34"/>
  <c r="O7" i="39"/>
  <c r="P10" i="35"/>
  <c r="L25" i="33"/>
  <c r="O9" i="50"/>
  <c r="K8" i="19"/>
  <c r="U7" i="19"/>
  <c r="H10" i="45"/>
  <c r="I27" i="40"/>
  <c r="I11" i="38"/>
  <c r="H15" i="34"/>
  <c r="I10" i="50"/>
  <c r="I11" i="37"/>
  <c r="I8" i="39"/>
  <c r="M11" i="35"/>
  <c r="I26" i="33"/>
  <c r="K55" i="19"/>
  <c r="U54" i="19"/>
  <c r="J48" i="18"/>
  <c r="I47" i="18"/>
  <c r="S47" i="14"/>
  <c r="J48" i="14"/>
  <c r="S6" i="11"/>
  <c r="J7" i="11"/>
  <c r="S6" i="15"/>
  <c r="J7" i="15"/>
  <c r="I23" i="4"/>
  <c r="Q23" i="4" s="1"/>
  <c r="I15" i="4"/>
  <c r="Q15" i="4" s="1"/>
  <c r="I26" i="4"/>
  <c r="Q26" i="4" s="1"/>
  <c r="I27" i="4"/>
  <c r="K9" i="50"/>
  <c r="I9" i="45"/>
  <c r="K7" i="39"/>
  <c r="N10" i="35"/>
  <c r="J25" i="33"/>
  <c r="K26" i="40"/>
  <c r="J10" i="38"/>
  <c r="J10" i="37"/>
  <c r="H57" i="34"/>
  <c r="S47" i="12"/>
  <c r="J48" i="12"/>
  <c r="J48" i="17"/>
  <c r="I47" i="17"/>
  <c r="S47" i="15"/>
  <c r="J48" i="15"/>
  <c r="D35" i="7"/>
  <c r="D36" i="7"/>
  <c r="D37" i="7"/>
  <c r="D38" i="7" s="1"/>
  <c r="D39" i="7" s="1"/>
  <c r="D34" i="7"/>
  <c r="K8" i="16"/>
  <c r="S8" i="16" s="1"/>
  <c r="S7" i="16"/>
  <c r="S7" i="17"/>
  <c r="K8" i="17"/>
  <c r="S8" i="17" s="1"/>
  <c r="I9" i="50"/>
  <c r="I10" i="37"/>
  <c r="H9" i="45"/>
  <c r="I7" i="39"/>
  <c r="M10" i="35"/>
  <c r="H14" i="34"/>
  <c r="I25" i="33"/>
  <c r="I26" i="40"/>
  <c r="I10" i="38"/>
  <c r="J50" i="20"/>
  <c r="K51" i="20"/>
  <c r="S51" i="20" s="1"/>
  <c r="I49" i="20"/>
  <c r="M11" i="50"/>
  <c r="K12" i="37"/>
  <c r="H68" i="34"/>
  <c r="M9" i="39"/>
  <c r="O12" i="35"/>
  <c r="K27" i="33"/>
  <c r="J11" i="45"/>
  <c r="M28" i="40"/>
  <c r="K12" i="38"/>
  <c r="G5" i="48"/>
  <c r="G209" i="48"/>
  <c r="G87" i="48"/>
  <c r="G2" i="48"/>
  <c r="G148" i="48"/>
  <c r="G270" i="48"/>
  <c r="G24" i="48"/>
  <c r="F273" i="48"/>
  <c r="F151" i="48"/>
  <c r="F27" i="48"/>
  <c r="F212" i="48"/>
  <c r="F90" i="48"/>
  <c r="F215" i="48"/>
  <c r="F93" i="48"/>
  <c r="F276" i="48"/>
  <c r="F30" i="48"/>
  <c r="F154" i="48"/>
  <c r="F221" i="48"/>
  <c r="F99" i="48"/>
  <c r="F282" i="48"/>
  <c r="F36" i="48"/>
  <c r="F160" i="48"/>
  <c r="G285" i="48"/>
  <c r="G163" i="48"/>
  <c r="G39" i="48"/>
  <c r="G224" i="48"/>
  <c r="G102" i="48"/>
  <c r="F297" i="48"/>
  <c r="F175" i="48"/>
  <c r="F51" i="48"/>
  <c r="F236" i="48"/>
  <c r="F114" i="48"/>
  <c r="J45" i="22"/>
  <c r="S44" i="22"/>
  <c r="G239" i="48"/>
  <c r="G117" i="48"/>
  <c r="G300" i="48"/>
  <c r="G178" i="48"/>
  <c r="G54" i="48"/>
  <c r="AC41" i="23"/>
  <c r="F303" i="48"/>
  <c r="F181" i="48"/>
  <c r="F57" i="48"/>
  <c r="F242" i="48"/>
  <c r="F120" i="48"/>
  <c r="J45" i="24"/>
  <c r="S44" i="24"/>
  <c r="G251" i="48"/>
  <c r="G129" i="48"/>
  <c r="G312" i="48"/>
  <c r="G190" i="48"/>
  <c r="G66" i="48"/>
  <c r="AG42" i="30"/>
  <c r="F315" i="48"/>
  <c r="F193" i="48"/>
  <c r="F69" i="48"/>
  <c r="F132" i="48"/>
  <c r="F254" i="48"/>
  <c r="F321" i="48"/>
  <c r="F199" i="48"/>
  <c r="F75" i="48"/>
  <c r="F260" i="48"/>
  <c r="F138" i="48"/>
  <c r="S44" i="27"/>
  <c r="J45" i="27"/>
  <c r="G263" i="48"/>
  <c r="G141" i="48"/>
  <c r="G324" i="48"/>
  <c r="G202" i="48"/>
  <c r="G78" i="48"/>
  <c r="AC41" i="28"/>
  <c r="F327" i="48"/>
  <c r="F205" i="48"/>
  <c r="F81" i="48"/>
  <c r="F266" i="48"/>
  <c r="F144" i="48"/>
  <c r="S7" i="13"/>
  <c r="S46" i="13"/>
  <c r="I47" i="13" s="1"/>
  <c r="S6" i="14"/>
  <c r="S45" i="14"/>
  <c r="AD46" i="14"/>
  <c r="S46" i="16"/>
  <c r="S6" i="22"/>
  <c r="K7" i="22"/>
  <c r="S7" i="22" s="1"/>
  <c r="Q9" i="50"/>
  <c r="L9" i="45"/>
  <c r="M10" i="37"/>
  <c r="H112" i="34"/>
  <c r="Q7" i="39"/>
  <c r="Q10" i="35"/>
  <c r="M25" i="33"/>
  <c r="Q26" i="40"/>
  <c r="M10" i="38"/>
  <c r="B5" i="1"/>
  <c r="G279" i="48"/>
  <c r="G157" i="48"/>
  <c r="G33" i="48"/>
  <c r="G218" i="48"/>
  <c r="G96" i="48"/>
  <c r="AG49" i="19"/>
  <c r="F227" i="48"/>
  <c r="F105" i="48"/>
  <c r="F166" i="48"/>
  <c r="F288" i="48"/>
  <c r="F42" i="48"/>
  <c r="G291" i="48"/>
  <c r="G169" i="48"/>
  <c r="G45" i="48"/>
  <c r="G230" i="48"/>
  <c r="G108" i="48"/>
  <c r="AB45" i="20"/>
  <c r="F233" i="48"/>
  <c r="F111" i="48"/>
  <c r="F172" i="48"/>
  <c r="F294" i="48"/>
  <c r="F48" i="48"/>
  <c r="G245" i="48"/>
  <c r="G123" i="48"/>
  <c r="G306" i="48"/>
  <c r="G184" i="48"/>
  <c r="G60" i="48"/>
  <c r="AC41" i="25"/>
  <c r="F309" i="48"/>
  <c r="F187" i="48"/>
  <c r="F63" i="48"/>
  <c r="F126" i="48"/>
  <c r="F248" i="48"/>
  <c r="J46" i="31"/>
  <c r="S45" i="31"/>
  <c r="G257" i="48"/>
  <c r="G135" i="48"/>
  <c r="G318" i="48"/>
  <c r="G196" i="48"/>
  <c r="G72" i="48"/>
  <c r="AD46" i="32"/>
  <c r="D23" i="7"/>
  <c r="I11" i="50"/>
  <c r="H11" i="45"/>
  <c r="I28" i="40"/>
  <c r="I12" i="38"/>
  <c r="I12" i="37"/>
  <c r="I9" i="39"/>
  <c r="M12" i="35"/>
  <c r="H16" i="34"/>
  <c r="I27" i="33"/>
  <c r="M11" i="45"/>
  <c r="S28" i="40"/>
  <c r="N12" i="38"/>
  <c r="S11" i="50"/>
  <c r="N12" i="37"/>
  <c r="H139" i="34"/>
  <c r="S9" i="39"/>
  <c r="R12" i="35"/>
  <c r="N27" i="33"/>
  <c r="I21" i="4"/>
  <c r="Q21" i="4" s="1"/>
  <c r="I22" i="4"/>
  <c r="Q11" i="50"/>
  <c r="L11" i="45"/>
  <c r="Q28" i="40"/>
  <c r="M12" i="38"/>
  <c r="M12" i="37"/>
  <c r="H114" i="34"/>
  <c r="Q9" i="39"/>
  <c r="Q12" i="35"/>
  <c r="M27" i="33"/>
  <c r="L23" i="64"/>
  <c r="G24" i="64"/>
  <c r="J47" i="21"/>
  <c r="K48" i="21"/>
  <c r="S48" i="21" s="1"/>
  <c r="I46" i="21"/>
  <c r="D20" i="7"/>
  <c r="AD43" i="11"/>
  <c r="S43" i="14"/>
  <c r="S44" i="14"/>
  <c r="AD45" i="14"/>
  <c r="S45" i="16"/>
  <c r="AD46" i="16"/>
  <c r="AD43" i="18"/>
  <c r="S5" i="25"/>
  <c r="J6" i="25"/>
  <c r="S9" i="50"/>
  <c r="M9" i="45"/>
  <c r="S7" i="39"/>
  <c r="R10" i="35"/>
  <c r="N25" i="33"/>
  <c r="S26" i="40"/>
  <c r="N10" i="38"/>
  <c r="N10" i="37"/>
  <c r="H137" i="34"/>
  <c r="AD44" i="16"/>
  <c r="I11" i="45"/>
  <c r="K28" i="40"/>
  <c r="J12" i="38"/>
  <c r="J12" i="37"/>
  <c r="H59" i="34"/>
  <c r="K11" i="50"/>
  <c r="K9" i="39"/>
  <c r="N12" i="35"/>
  <c r="J27" i="33"/>
  <c r="M9" i="50"/>
  <c r="J9" i="45"/>
  <c r="M26" i="40"/>
  <c r="K10" i="38"/>
  <c r="K10" i="37"/>
  <c r="H66" i="34"/>
  <c r="M7" i="39"/>
  <c r="O10" i="35"/>
  <c r="K25" i="33"/>
  <c r="O11" i="50"/>
  <c r="K11" i="45"/>
  <c r="O9" i="39"/>
  <c r="P12" i="35"/>
  <c r="L27" i="33"/>
  <c r="O28" i="40"/>
  <c r="L12" i="38"/>
  <c r="L12" i="37"/>
  <c r="H105" i="34"/>
  <c r="F270" i="48"/>
  <c r="F148" i="48"/>
  <c r="F24" i="48"/>
  <c r="F209" i="48"/>
  <c r="F87" i="48"/>
  <c r="G273" i="48"/>
  <c r="G151" i="48"/>
  <c r="G27" i="48"/>
  <c r="G212" i="48"/>
  <c r="G90" i="48"/>
  <c r="O19" i="64"/>
  <c r="G215" i="48"/>
  <c r="G93" i="48"/>
  <c r="G276" i="48"/>
  <c r="G154" i="48"/>
  <c r="G30" i="48"/>
  <c r="F279" i="48"/>
  <c r="F157" i="48"/>
  <c r="F33" i="48"/>
  <c r="F218" i="48"/>
  <c r="F96" i="48"/>
  <c r="G221" i="48"/>
  <c r="G99" i="48"/>
  <c r="G282" i="48"/>
  <c r="G160" i="48"/>
  <c r="G36" i="48"/>
  <c r="F285" i="48"/>
  <c r="F163" i="48"/>
  <c r="F39" i="48"/>
  <c r="F102" i="48"/>
  <c r="F224" i="48"/>
  <c r="G227" i="48"/>
  <c r="G105" i="48"/>
  <c r="G288" i="48"/>
  <c r="G166" i="48"/>
  <c r="G42" i="48"/>
  <c r="F291" i="48"/>
  <c r="F169" i="48"/>
  <c r="F45" i="48"/>
  <c r="F108" i="48"/>
  <c r="F230" i="48"/>
  <c r="G233" i="48"/>
  <c r="G111" i="48"/>
  <c r="G294" i="48"/>
  <c r="G172" i="48"/>
  <c r="G48" i="48"/>
  <c r="AC42" i="21"/>
  <c r="G297" i="48"/>
  <c r="G175" i="48"/>
  <c r="G51" i="48"/>
  <c r="G236" i="48"/>
  <c r="G114" i="48"/>
  <c r="AC41" i="22"/>
  <c r="F239" i="48"/>
  <c r="F117" i="48"/>
  <c r="F300" i="48"/>
  <c r="F54" i="48"/>
  <c r="F178" i="48"/>
  <c r="S44" i="23"/>
  <c r="J45" i="23"/>
  <c r="G303" i="48"/>
  <c r="G181" i="48"/>
  <c r="G57" i="48"/>
  <c r="G242" i="48"/>
  <c r="G120" i="48"/>
  <c r="AC41" i="24"/>
  <c r="F245" i="48"/>
  <c r="F123" i="48"/>
  <c r="F306" i="48"/>
  <c r="F60" i="48"/>
  <c r="F184" i="48"/>
  <c r="S44" i="25"/>
  <c r="J45" i="25"/>
  <c r="G309" i="48"/>
  <c r="G187" i="48"/>
  <c r="G63" i="48"/>
  <c r="G248" i="48"/>
  <c r="G126" i="48"/>
  <c r="AD46" i="26"/>
  <c r="F251" i="48"/>
  <c r="F129" i="48"/>
  <c r="F190" i="48"/>
  <c r="F312" i="48"/>
  <c r="F66" i="48"/>
  <c r="S45" i="30"/>
  <c r="J46" i="30"/>
  <c r="G315" i="48"/>
  <c r="G193" i="48"/>
  <c r="G69" i="48"/>
  <c r="G254" i="48"/>
  <c r="G132" i="48"/>
  <c r="AG42" i="31"/>
  <c r="F257" i="48"/>
  <c r="F135" i="48"/>
  <c r="F196" i="48"/>
  <c r="F318" i="48"/>
  <c r="F72" i="48"/>
  <c r="G321" i="48"/>
  <c r="G199" i="48"/>
  <c r="G75" i="48"/>
  <c r="G260" i="48"/>
  <c r="G138" i="48"/>
  <c r="AC41" i="27"/>
  <c r="F263" i="48"/>
  <c r="F141" i="48"/>
  <c r="F324" i="48"/>
  <c r="F78" i="48"/>
  <c r="F202" i="48"/>
  <c r="J45" i="28"/>
  <c r="S44" i="28"/>
  <c r="G327" i="48"/>
  <c r="G205" i="48"/>
  <c r="G81" i="48"/>
  <c r="G266" i="48"/>
  <c r="G144" i="48"/>
  <c r="AD46" i="29"/>
  <c r="S43" i="16"/>
  <c r="S44" i="16"/>
  <c r="AD45" i="16"/>
  <c r="S6" i="24"/>
  <c r="K7" i="24"/>
  <c r="S7" i="24" s="1"/>
  <c r="S5" i="23"/>
  <c r="J6" i="23"/>
  <c r="S5" i="27"/>
  <c r="J6" i="27"/>
  <c r="J6" i="30"/>
  <c r="S5" i="30"/>
  <c r="S5" i="22"/>
  <c r="S5" i="24"/>
  <c r="K7" i="28"/>
  <c r="S7" i="28" s="1"/>
  <c r="S5" i="28"/>
  <c r="E152" i="33"/>
  <c r="E156" i="33"/>
  <c r="E45" i="33"/>
  <c r="E94" i="33"/>
  <c r="P94" i="33" s="1"/>
  <c r="E126" i="33"/>
  <c r="E130" i="33"/>
  <c r="E153" i="33"/>
  <c r="E157" i="33"/>
  <c r="Q17" i="34"/>
  <c r="R117" i="34"/>
  <c r="K36" i="43"/>
  <c r="U148" i="63"/>
  <c r="AA16" i="63"/>
  <c r="AA12" i="63"/>
  <c r="AA15" i="63"/>
  <c r="U14" i="63"/>
  <c r="AA13" i="63"/>
  <c r="E29" i="62"/>
  <c r="E6" i="62"/>
  <c r="E24" i="52"/>
  <c r="M209" i="48"/>
  <c r="M87" i="48"/>
  <c r="E42" i="47"/>
  <c r="E31" i="47"/>
  <c r="AA11" i="63"/>
  <c r="E5" i="55"/>
  <c r="E5" i="54"/>
  <c r="D5" i="52"/>
  <c r="F23" i="48"/>
  <c r="E38" i="47"/>
  <c r="E28" i="47"/>
  <c r="E32" i="62"/>
  <c r="E30" i="62"/>
  <c r="J47" i="51"/>
  <c r="J46" i="51"/>
  <c r="M270" i="48"/>
  <c r="M148" i="48"/>
  <c r="M24" i="48"/>
  <c r="E14" i="48"/>
  <c r="E35" i="47"/>
  <c r="E25" i="47"/>
  <c r="G17" i="46"/>
  <c r="U15" i="63"/>
  <c r="E5" i="62"/>
  <c r="E3" i="62"/>
  <c r="E40" i="33"/>
  <c r="E43" i="33"/>
  <c r="E62" i="33"/>
  <c r="E127" i="33"/>
  <c r="E131" i="33"/>
  <c r="E154" i="33"/>
  <c r="E158" i="33"/>
  <c r="J51" i="51"/>
  <c r="B41" i="33"/>
  <c r="B42" i="33"/>
  <c r="E46" i="33"/>
  <c r="E49" i="33"/>
  <c r="E52" i="33"/>
  <c r="E55" i="33"/>
  <c r="E58" i="33"/>
  <c r="E161" i="33"/>
  <c r="K58" i="43"/>
  <c r="M58" i="43"/>
  <c r="D49" i="61"/>
  <c r="G51" i="51"/>
  <c r="G52" i="51"/>
  <c r="F2" i="54"/>
  <c r="F2" i="55"/>
  <c r="G46" i="51"/>
  <c r="H51" i="51"/>
  <c r="H52" i="51"/>
  <c r="D51" i="61"/>
  <c r="E4" i="62"/>
  <c r="K46" i="23" l="1"/>
  <c r="S46" i="23" s="1"/>
  <c r="S45" i="23"/>
  <c r="S45" i="22"/>
  <c r="K46" i="22"/>
  <c r="S46" i="22" s="1"/>
  <c r="L10" i="45"/>
  <c r="Q10" i="50"/>
  <c r="Q27" i="40"/>
  <c r="M11" i="38"/>
  <c r="M11" i="37"/>
  <c r="Q8" i="39"/>
  <c r="Q11" i="35"/>
  <c r="M26" i="33"/>
  <c r="H113" i="34"/>
  <c r="K49" i="18"/>
  <c r="S49" i="18" s="1"/>
  <c r="S48" i="18"/>
  <c r="K7" i="23"/>
  <c r="S7" i="23" s="1"/>
  <c r="S6" i="23"/>
  <c r="K7" i="25"/>
  <c r="S7" i="25" s="1"/>
  <c r="S6" i="25"/>
  <c r="K47" i="31"/>
  <c r="S47" i="31" s="1"/>
  <c r="S46" i="31"/>
  <c r="K49" i="17"/>
  <c r="S49" i="17" s="1"/>
  <c r="S48" i="17"/>
  <c r="S7" i="15"/>
  <c r="K8" i="15"/>
  <c r="S8" i="15" s="1"/>
  <c r="S48" i="14"/>
  <c r="K49" i="14"/>
  <c r="S49" i="14" s="1"/>
  <c r="L9" i="19"/>
  <c r="U9" i="19" s="1"/>
  <c r="U8" i="19"/>
  <c r="S7" i="12"/>
  <c r="K8" i="12"/>
  <c r="S8" i="12" s="1"/>
  <c r="K46" i="27"/>
  <c r="S46" i="27" s="1"/>
  <c r="S45" i="27"/>
  <c r="K7" i="30"/>
  <c r="S7" i="30" s="1"/>
  <c r="S6" i="30"/>
  <c r="S46" i="30"/>
  <c r="K47" i="30"/>
  <c r="S47" i="30" s="1"/>
  <c r="L24" i="64"/>
  <c r="H25" i="64"/>
  <c r="L25" i="64" s="1"/>
  <c r="M10" i="50"/>
  <c r="J10" i="45"/>
  <c r="M8" i="39"/>
  <c r="O11" i="35"/>
  <c r="K26" i="33"/>
  <c r="H67" i="34"/>
  <c r="M27" i="40"/>
  <c r="K11" i="38"/>
  <c r="K11" i="37"/>
  <c r="K49" i="15"/>
  <c r="S49" i="15" s="1"/>
  <c r="S48" i="15"/>
  <c r="K49" i="12"/>
  <c r="S49" i="12" s="1"/>
  <c r="S48" i="12"/>
  <c r="O10" i="50"/>
  <c r="K10" i="45"/>
  <c r="H104" i="34"/>
  <c r="O27" i="40"/>
  <c r="L11" i="38"/>
  <c r="L11" i="37"/>
  <c r="O8" i="39"/>
  <c r="P11" i="35"/>
  <c r="L26" i="33"/>
  <c r="L56" i="19"/>
  <c r="U56" i="19" s="1"/>
  <c r="U55" i="19"/>
  <c r="K7" i="27"/>
  <c r="S7" i="27" s="1"/>
  <c r="S6" i="27"/>
  <c r="S45" i="28"/>
  <c r="K46" i="28"/>
  <c r="S46" i="28" s="1"/>
  <c r="K46" i="25"/>
  <c r="S46" i="25" s="1"/>
  <c r="S45" i="25"/>
  <c r="I47" i="16"/>
  <c r="J48" i="16"/>
  <c r="J48" i="13"/>
  <c r="S47" i="13"/>
  <c r="S45" i="24"/>
  <c r="K46" i="24"/>
  <c r="S46" i="24" s="1"/>
  <c r="D43" i="7"/>
  <c r="D44" i="7" s="1"/>
  <c r="D45" i="7" s="1"/>
  <c r="D41" i="7"/>
  <c r="D40" i="7"/>
  <c r="S10" i="50"/>
  <c r="N11" i="37"/>
  <c r="M10" i="45"/>
  <c r="S8" i="39"/>
  <c r="R11" i="35"/>
  <c r="N26" i="33"/>
  <c r="H138" i="34"/>
  <c r="S27" i="40"/>
  <c r="N11" i="38"/>
  <c r="S7" i="11"/>
  <c r="K8" i="11"/>
  <c r="S8" i="11" s="1"/>
  <c r="S48" i="11"/>
  <c r="K49" i="11"/>
  <c r="S49" i="11" s="1"/>
  <c r="D47" i="7" l="1"/>
  <c r="D51" i="7"/>
  <c r="D49" i="7"/>
  <c r="D46" i="7"/>
  <c r="D48" i="7"/>
  <c r="K49" i="13"/>
  <c r="S49" i="13" s="1"/>
  <c r="S48" i="13"/>
  <c r="S48" i="16"/>
  <c r="K49" i="16"/>
  <c r="S49" i="16" s="1"/>
  <c r="I31" i="33"/>
  <c r="I97" i="33" s="1"/>
  <c r="I179" i="33" s="1"/>
  <c r="M31" i="33"/>
  <c r="L31" i="33"/>
  <c r="L97" i="33"/>
  <c r="L179" i="33" s="1"/>
  <c r="H31" i="33"/>
  <c r="H179" i="33"/>
  <c r="J31" i="33"/>
  <c r="K31" i="33"/>
  <c r="N31" i="33"/>
  <c r="N97" i="33" s="1"/>
  <c r="K179" i="33" l="1"/>
  <c r="J97" i="33"/>
  <c r="J179" i="33" s="1"/>
  <c r="M97" i="33"/>
  <c r="M179" i="33" s="1"/>
  <c r="K97" i="33"/>
  <c r="N179" i="33"/>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<sst xmlns="http://schemas.openxmlformats.org/spreadsheetml/2006/main" count="17612" uniqueCount="4350">
  <si>
    <t xml:space="preserve"> (требуется обновление)</t>
  </si>
  <si>
    <t>Код отчёта: PP110.OPEN.INFO.BALANCE.HEAT.EIAS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</si>
  <si>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</si>
  <si>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</si>
  <si>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</si>
  <si>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</si>
  <si>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</si>
  <si>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</si>
  <si>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</si>
  <si>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</si>
  <si>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</si>
  <si>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</si>
  <si>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</si>
  <si>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</si>
  <si>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</si>
  <si>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</si>
  <si>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Архангельская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</si>
  <si>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</si>
  <si>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</si>
  <si>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</si>
  <si>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</si>
  <si>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</si>
  <si>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</si>
  <si>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</si>
  <si>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</si>
  <si>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</si>
  <si>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</si>
  <si>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</si>
  <si>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</si>
  <si>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</si>
  <si>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</si>
  <si>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</si>
  <si>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</si>
  <si>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</si>
  <si>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</si>
  <si>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</si>
  <si>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Организация осуществляет деятельность</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</si>
  <si>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</si>
  <si>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</si>
  <si>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</si>
  <si>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</si>
  <si>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</si>
  <si>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</si>
  <si>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</si>
  <si>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</si>
  <si>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</si>
  <si>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</si>
  <si>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</si>
  <si>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</si>
  <si>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</si>
  <si>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</si>
  <si>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</si>
  <si>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</si>
  <si>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</si>
  <si>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</si>
  <si>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</si>
  <si>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</si>
  <si>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</si>
  <si>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</si>
  <si>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</si>
  <si>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</si>
  <si>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</si>
  <si>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</si>
  <si>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</si>
  <si>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</si>
  <si>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</si>
  <si>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</si>
  <si>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</si>
  <si>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по группам мероприятий</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</si>
  <si>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</si>
  <si>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</si>
  <si>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дом 6</t>
  </si>
  <si>
    <t>Фамилия, имя, отчество руководителя</t>
  </si>
  <si>
    <t>Иванова Юлия Валентиновна</t>
  </si>
  <si>
    <t>Ответственный за заполнение формы</t>
  </si>
  <si>
    <t>Фамилия, имя, отчество</t>
  </si>
  <si>
    <t>Маленьких Лариса Витальевна</t>
  </si>
  <si>
    <t>Должность</t>
  </si>
  <si>
    <t>ведущий экономист управления тарифного регулирования ПАО "ТГК-2"</t>
  </si>
  <si>
    <t>Контактный телефон</t>
  </si>
  <si>
    <t>(8182) 46-31-37</t>
  </si>
  <si>
    <t>E-mail</t>
  </si>
  <si>
    <t>MalenkikhLV@tgc-2.ru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</si>
  <si>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</si>
  <si>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</si>
  <si>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</si>
  <si>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</si>
  <si>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</si>
  <si>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</si>
  <si>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</si>
  <si>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</si>
  <si>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</si>
  <si>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</si>
  <si>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</si>
  <si>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</si>
  <si>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</si>
  <si>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</si>
  <si>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</si>
  <si>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</si>
  <si>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</si>
  <si>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</si>
  <si>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Архангельск</t>
  </si>
  <si>
    <t>11701000</t>
  </si>
  <si>
    <t>2</t>
  </si>
  <si>
    <t>×</t>
  </si>
  <si>
    <t>100</t>
  </si>
  <si>
    <t>Приморский муниципальный район</t>
  </si>
  <si>
    <t>Талажское</t>
  </si>
  <si>
    <t>11652460</t>
  </si>
  <si>
    <t>94</t>
  </si>
  <si>
    <t>Лисестровское</t>
  </si>
  <si>
    <t>11652436</t>
  </si>
  <si>
    <t>Добавить МО</t>
  </si>
  <si>
    <t>ter_5</t>
  </si>
  <si>
    <t>58</t>
  </si>
  <si>
    <t>Муниципальный округ "Город Северодвинск"</t>
  </si>
  <si>
    <t>11503000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</si>
  <si>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</si>
  <si>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</si>
  <si>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</si>
  <si>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</si>
  <si>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</si>
  <si>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</si>
  <si>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5</t>
  </si>
  <si>
    <t>8</t>
  </si>
  <si>
    <t>ID_DIFF</t>
  </si>
  <si>
    <t>VD</t>
  </si>
  <si>
    <t>AREA</t>
  </si>
  <si>
    <t>SYSTEM</t>
  </si>
  <si>
    <t>diff_1</t>
  </si>
  <si>
    <t>4190066</t>
  </si>
  <si>
    <t>a</t>
  </si>
  <si>
    <t>Добавить централизованную систему</t>
  </si>
  <si>
    <t>diff_511111</t>
  </si>
  <si>
    <t>Добавить описание территории</t>
  </si>
  <si>
    <t>diff_5</t>
  </si>
  <si>
    <t>4190064</t>
  </si>
  <si>
    <t>diff_51</t>
  </si>
  <si>
    <t>4190068; 4190070</t>
  </si>
  <si>
    <t>diff_51111</t>
  </si>
  <si>
    <t>diff_511</t>
  </si>
  <si>
    <t>4190067; 4190071</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</si>
  <si>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</si>
  <si>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</si>
  <si>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</si>
  <si>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</si>
  <si>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</si>
  <si>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</si>
  <si>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</si>
  <si>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</si>
  <si>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</si>
  <si>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</si>
  <si>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</si>
  <si>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</si>
  <si>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</si>
  <si>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</si>
  <si>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</si>
  <si>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</si>
  <si>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</si>
  <si>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</si>
  <si>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</si>
  <si>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</si>
  <si>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</si>
  <si>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</si>
  <si>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</si>
  <si>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</si>
  <si>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</si>
  <si>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</si>
  <si>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</si>
  <si>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</si>
  <si>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</si>
  <si>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</si>
  <si>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</si>
  <si>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</si>
  <si>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</si>
  <si>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</si>
  <si>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</si>
  <si>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</si>
  <si>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</si>
  <si>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</si>
  <si>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</si>
  <si>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</si>
  <si>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</si>
  <si>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</si>
  <si>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</si>
  <si>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</si>
  <si>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</si>
  <si>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</si>
  <si>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</si>
  <si>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</si>
  <si>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</si>
  <si>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</si>
  <si>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</si>
  <si>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</si>
  <si>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</si>
  <si>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</si>
  <si>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</si>
  <si>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</si>
  <si>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</si>
  <si>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</si>
  <si>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</si>
  <si>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</si>
  <si>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</si>
  <si>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</si>
  <si>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</si>
  <si>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</si>
  <si>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</si>
  <si>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</si>
  <si>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</si>
  <si>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</si>
  <si>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</si>
  <si>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</si>
  <si>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</si>
  <si>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</si>
  <si>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</si>
  <si>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</si>
  <si>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</si>
  <si>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</si>
  <si>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</si>
  <si>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</si>
  <si>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</si>
  <si>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</si>
  <si>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</si>
  <si>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</si>
  <si>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</si>
  <si>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</si>
  <si>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</si>
  <si>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</si>
  <si>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</si>
  <si>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</si>
  <si>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</si>
  <si>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</si>
  <si>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</si>
  <si>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</si>
  <si>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</si>
  <si>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</si>
  <si>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</si>
  <si>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</si>
  <si>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</si>
  <si>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</si>
  <si>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</si>
  <si>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</si>
  <si>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</si>
  <si>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</si>
  <si>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</si>
  <si>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</si>
  <si>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</si>
  <si>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</si>
  <si>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</si>
  <si>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</si>
  <si>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</si>
  <si>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</si>
  <si>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</si>
  <si>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</si>
  <si>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</si>
  <si>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</si>
  <si>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</si>
  <si>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</si>
  <si>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</si>
  <si>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</si>
  <si>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</si>
  <si>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</si>
  <si>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</si>
  <si>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</si>
  <si>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</si>
  <si>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</si>
  <si>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</si>
  <si>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</si>
  <si>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</si>
  <si>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</si>
  <si>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</si>
  <si>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</si>
  <si>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</si>
  <si>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</si>
  <si>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</si>
  <si>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</si>
  <si>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</si>
  <si>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</si>
  <si>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</si>
  <si>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</si>
  <si>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</si>
  <si>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</si>
  <si>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</si>
  <si>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</si>
  <si>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</si>
  <si>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</si>
  <si>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</si>
  <si>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</si>
  <si>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</si>
  <si>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</si>
  <si>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</si>
  <si>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</si>
  <si>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</si>
  <si>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</si>
  <si>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</si>
  <si>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</si>
  <si>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</si>
  <si>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</si>
  <si>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</si>
  <si>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</si>
  <si>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</si>
  <si>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</si>
  <si>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</si>
  <si>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</si>
  <si>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</si>
  <si>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</si>
  <si>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</si>
  <si>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</si>
  <si>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</si>
  <si>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</si>
  <si>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</si>
  <si>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</si>
  <si>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</si>
  <si>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</si>
  <si>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</si>
  <si>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</si>
  <si>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</si>
  <si>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</si>
  <si>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</si>
  <si>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</si>
  <si>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</si>
  <si>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</si>
  <si>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</si>
  <si>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</si>
  <si>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</si>
  <si>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</si>
  <si>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</si>
  <si>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</si>
  <si>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</si>
  <si>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</si>
  <si>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</si>
  <si>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</si>
  <si>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</si>
  <si>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</si>
  <si>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</si>
  <si>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</si>
  <si>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</si>
  <si>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</si>
  <si>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</si>
  <si>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</si>
  <si>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</si>
  <si>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</si>
  <si>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</si>
  <si>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</si>
  <si>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</si>
  <si>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</si>
  <si>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</si>
  <si>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</si>
  <si>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</si>
  <si>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</si>
  <si>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</si>
  <si>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</si>
  <si>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</si>
  <si>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</si>
  <si>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</si>
  <si>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</si>
  <si>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</si>
  <si>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</si>
  <si>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</si>
  <si>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</si>
  <si>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</si>
  <si>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</si>
  <si>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</si>
  <si>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</si>
  <si>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</si>
  <si>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</si>
  <si>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</si>
  <si>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</si>
  <si>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</si>
  <si>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</si>
  <si>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</si>
  <si>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</si>
  <si>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</si>
  <si>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</si>
  <si>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</si>
  <si>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</si>
  <si>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</si>
  <si>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</si>
  <si>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</si>
  <si>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</si>
  <si>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</si>
  <si>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</si>
  <si>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</si>
  <si>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</si>
  <si>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</si>
  <si>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</si>
  <si>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</si>
  <si>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</si>
  <si>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</si>
  <si>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</si>
  <si>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</si>
  <si>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</si>
  <si>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</si>
  <si>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</si>
  <si>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</si>
  <si>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</si>
  <si>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</si>
  <si>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</si>
  <si>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</si>
  <si>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</si>
  <si>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</si>
  <si>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</si>
  <si>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</si>
  <si>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</si>
  <si>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</si>
  <si>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</si>
  <si>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</si>
  <si>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</si>
  <si>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</si>
  <si>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</si>
  <si>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</si>
  <si>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</si>
  <si>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</si>
  <si>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</si>
  <si>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</si>
  <si>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</si>
  <si>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</si>
  <si>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</si>
  <si>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</si>
  <si>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</si>
  <si>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</si>
  <si>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</si>
  <si>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</si>
  <si>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</si>
  <si>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</si>
  <si>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</si>
  <si>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</si>
  <si>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</si>
  <si>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</si>
  <si>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</si>
  <si>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</si>
  <si>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</si>
  <si>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</si>
  <si>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</si>
  <si>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</si>
  <si>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</si>
  <si>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</si>
  <si>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</si>
  <si>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</si>
  <si>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</si>
  <si>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</si>
  <si>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</si>
  <si>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</si>
  <si>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</si>
  <si>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</si>
  <si>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</si>
  <si>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</si>
  <si>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</si>
  <si>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</si>
  <si>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</si>
  <si>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</si>
  <si>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</si>
  <si>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</si>
  <si>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</si>
  <si>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</si>
  <si>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</si>
  <si>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</si>
  <si>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</si>
  <si>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</si>
  <si>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</si>
  <si>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</si>
  <si>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</si>
  <si>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</si>
  <si>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</si>
  <si>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</si>
  <si>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</si>
  <si>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</si>
  <si>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</si>
  <si>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</si>
  <si>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</si>
  <si>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</si>
  <si>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</si>
  <si>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</si>
  <si>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</si>
  <si>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</si>
  <si>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</si>
  <si>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</si>
  <si>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</si>
  <si>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</si>
  <si>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</si>
  <si>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</si>
  <si>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</si>
  <si>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</si>
  <si>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</si>
  <si>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</si>
  <si>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</si>
  <si>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</si>
  <si>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</si>
  <si>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</si>
  <si>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</si>
  <si>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</si>
  <si>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</si>
  <si>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</si>
  <si>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</si>
  <si>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</si>
  <si>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</si>
  <si>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Заявитель</t>
  </si>
  <si>
    <t>Наименование объекта, адрес</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</si>
  <si>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</si>
  <si>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</si>
  <si>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</si>
  <si>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</si>
  <si>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</si>
  <si>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</si>
  <si>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</si>
  <si>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</si>
  <si>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</si>
  <si>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</si>
  <si>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</si>
  <si>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</si>
  <si>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</si>
  <si>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</si>
  <si>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</si>
  <si>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</si>
  <si>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</si>
  <si>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</si>
  <si>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</si>
  <si>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</si>
  <si>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</si>
  <si>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</si>
  <si>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</si>
  <si>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</si>
  <si>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Дата документа об утверждении тарифов</t>
  </si>
  <si>
    <t>Номер документа об утверждении тарифов</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</si>
  <si>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</si>
  <si>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</si>
  <si>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</si>
  <si>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</si>
  <si>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</si>
  <si>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</si>
  <si>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</si>
  <si>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</si>
  <si>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</si>
  <si>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</si>
  <si>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</si>
  <si>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</si>
  <si>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</si>
  <si>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</si>
  <si>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</si>
  <si>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</si>
  <si>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</si>
  <si>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</si>
  <si>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</si>
  <si>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</si>
  <si>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</si>
  <si>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</si>
  <si>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</si>
  <si>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</si>
  <si>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</si>
  <si>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</si>
  <si>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</si>
  <si>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</si>
  <si>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</si>
  <si>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</si>
  <si>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</si>
  <si>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</si>
  <si>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</si>
  <si>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</si>
  <si>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</si>
  <si>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</si>
  <si>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</si>
  <si>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</si>
  <si>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</si>
  <si>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</si>
  <si>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</si>
  <si>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</si>
  <si>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</si>
  <si>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</si>
  <si>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</si>
  <si>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</si>
  <si>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</si>
  <si>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</si>
  <si>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</si>
  <si>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</si>
  <si>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</si>
  <si>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</si>
  <si>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</si>
  <si>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</si>
  <si>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</si>
  <si>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</si>
  <si>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</si>
  <si>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</si>
  <si>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</si>
  <si>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</si>
  <si>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</si>
  <si>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</si>
  <si>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газ природный по регулируемой цене</t>
  </si>
  <si>
    <t>тыс м3</t>
  </si>
  <si>
    <t>Прямые договора без торгов</t>
  </si>
  <si>
    <t>мазут</t>
  </si>
  <si>
    <t>тонны</t>
  </si>
  <si>
    <t>Торги/аукционы</t>
  </si>
  <si>
    <t>уголь каменный</t>
  </si>
  <si>
    <t>дизельное топливо</t>
  </si>
  <si>
    <t>Добавить вид топлива</t>
  </si>
  <si>
    <t>HOTVSNA_P1</t>
  </si>
  <si>
    <t>руб.</t>
  </si>
  <si>
    <t>тыс. кВт·ч</t>
  </si>
  <si>
    <t>HEAT_P6</t>
  </si>
  <si>
    <t>NOT_HOTVSNA</t>
  </si>
  <si>
    <t>отсутствует</t>
  </si>
  <si>
    <t>есть</t>
  </si>
  <si>
    <t>NOT_HEAT_P1</t>
  </si>
  <si>
    <t>прочие</t>
  </si>
  <si>
    <t>Добавить прочие расходы</t>
  </si>
  <si>
    <t>HEAT_P2</t>
  </si>
  <si>
    <t>NOT_HEAT_P2</t>
  </si>
  <si>
    <t>hyp</t>
  </si>
  <si>
    <t>https://portal.eias.ru/Portal/DownloadPage.aspx?type=12&amp;guid=5ba91a36-68ce-4326-8a4b-fa7b051bbd9d</t>
  </si>
  <si>
    <t>COLDVSNA_P1</t>
  </si>
  <si>
    <t>тыс. куб. м</t>
  </si>
  <si>
    <t>HOTVSNA_P2</t>
  </si>
  <si>
    <t>тыс. Гкал</t>
  </si>
  <si>
    <t>VOTV_P1</t>
  </si>
  <si>
    <t>HEAT_P3</t>
  </si>
  <si>
    <t>Архангельская ТЭЦ</t>
  </si>
  <si>
    <t>Котельная о. Хабарка</t>
  </si>
  <si>
    <t>Котельная пр. Ленинградский</t>
  </si>
  <si>
    <t>Котельная пос.Талаги</t>
  </si>
  <si>
    <t>Северодвинская ТЭЦ-1</t>
  </si>
  <si>
    <t>Северодвинская ТЭЦ-2</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</si>
  <si>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</si>
  <si>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</si>
  <si>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</si>
  <si>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</si>
  <si>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</si>
  <si>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</si>
  <si>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</si>
  <si>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</si>
  <si>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</si>
  <si>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</si>
  <si>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</si>
  <si>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</si>
  <si>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</si>
  <si>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</si>
  <si>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</si>
  <si>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</si>
  <si>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</si>
  <si>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</si>
  <si>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</si>
  <si>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</si>
  <si>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</si>
  <si>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</si>
  <si>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</si>
  <si>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</si>
  <si>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</si>
  <si>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</si>
  <si>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 xml:space="preserve">ООО "ТГК-2 Энергоремонт"
</t>
  </si>
  <si>
    <t>Итого по поставщику, в том числе</t>
  </si>
  <si>
    <t>1.1</t>
  </si>
  <si>
    <t xml:space="preserve">2676/Дог24 от 28.12.2024
</t>
  </si>
  <si>
    <t>Договор на выполнение работ по техническому обслуживанию, текущему ремонту и устранению дефектов основного и вспомогательного оборудования Архангельской ТЭЦ ПАО "ТГК-2"</t>
  </si>
  <si>
    <t>Добавить товар/услугу</t>
  </si>
  <si>
    <t>1.2</t>
  </si>
  <si>
    <t xml:space="preserve">160/Дог25 от 04.02.2025
</t>
  </si>
  <si>
    <t>Договор на проведение работ по капитальному или текущему ремонту основного и вспомогательного оборудования Архангельской ТЭЦ ПАО «ТГК-2»</t>
  </si>
  <si>
    <t>Добавить способ</t>
  </si>
  <si>
    <t xml:space="preserve">ООО "Теплоэлектромонтаж"
</t>
  </si>
  <si>
    <t>Прочее</t>
  </si>
  <si>
    <t xml:space="preserve">2349/Дог24 от 04.12.2024
</t>
  </si>
  <si>
    <t>Договор на выполнение работ по ремонту турбогенераторов, электротехнического оборудования Архангельской ТЭЦ</t>
  </si>
  <si>
    <t xml:space="preserve">ООО "РМП"
</t>
  </si>
  <si>
    <t xml:space="preserve">2006/Дог25 от 08.09.2025
</t>
  </si>
  <si>
    <t>Договор на выполнение работ по ремонту статоров асинхронных электродвигателей ДАЗО-15-41-8/10, ДАЗО-15-69-8/10 Архангельской ТЭЦ</t>
  </si>
  <si>
    <t xml:space="preserve">2224/Дог25 от 17.10.2025
</t>
  </si>
  <si>
    <t>Договор на выполнение работ по ремонту статора асинхронного электродвигателя АЗ-1600/6000 Архангельской ТЭЦ</t>
  </si>
  <si>
    <t xml:space="preserve">ООО "ПИРАМИДА"
</t>
  </si>
  <si>
    <t xml:space="preserve">977/Дог25 от 29.04.2025
</t>
  </si>
  <si>
    <t xml:space="preserve">Выполнение работ по ремонту здания ОВК-4 Архангельской ТЭЦ </t>
  </si>
  <si>
    <t xml:space="preserve">103/Дог25 от 31.01.2025
</t>
  </si>
  <si>
    <t xml:space="preserve">Договор на выполнение работ по ремонту Главного корпуса Архангельской ТЭЦ </t>
  </si>
  <si>
    <t xml:space="preserve">ООО "ПСК-Ресурс"
</t>
  </si>
  <si>
    <t xml:space="preserve">2405/Дог24 от 13.12.2024
</t>
  </si>
  <si>
    <t>Договор на выполнение подготовительных работ для проведения экспертизы промышленной безопасности оборудования Архангельской ТЭЦ</t>
  </si>
  <si>
    <t xml:space="preserve">1537/Дог25 от 02.07.2025
</t>
  </si>
  <si>
    <t xml:space="preserve">Договор на выполнение работ по ремонту и антикоррозионной защите оборудования Архангельской ТЭЦ </t>
  </si>
  <si>
    <t xml:space="preserve">ООО "ТЕХНОПЛЮС"
</t>
  </si>
  <si>
    <t xml:space="preserve">125/Дог25 от 10.02.2025
</t>
  </si>
  <si>
    <t>Договор на выполнение работ по ремонту оборудования Архангельской ТЭЦ</t>
  </si>
  <si>
    <t xml:space="preserve">1746/Дог25 от 31.07.2025
</t>
  </si>
  <si>
    <t>Договор на выполнение работ по ремонту зданий и сооружений Архангельской ТЭЦ</t>
  </si>
  <si>
    <t>Добавить поставщика</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</si>
  <si>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</si>
  <si>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</si>
  <si>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111</t>
  </si>
  <si>
    <t xml:space="preserve">ООО "СтройПроектЭкология"
</t>
  </si>
  <si>
    <t xml:space="preserve">№ 741/Дог25 от 28.03.2025
</t>
  </si>
  <si>
    <t>Договор на выполнение работ  по капитальному ремонту ЗиС  Архангельских городских тепловых сетей  ПАО "ТГК-2</t>
  </si>
  <si>
    <t xml:space="preserve">ООО "РУБЕЖ"
</t>
  </si>
  <si>
    <t>№ 1304/Дог25 от 29.05.2025</t>
  </si>
  <si>
    <t>Договор на выполнение работ  по восстановлению благоустройства после ремонта  тепловых сетей АГТС</t>
  </si>
  <si>
    <t>№ 2923/Дог25 от 20.01.2026</t>
  </si>
  <si>
    <t xml:space="preserve">Государственное автономное учреждение Архангельской области "Управление государственной экспертизы"
</t>
  </si>
  <si>
    <t>№702/Дог25 от 13.03.2025</t>
  </si>
  <si>
    <t>Оказание услуг по проведению государственной экспертизы проектной документации объекта: "Капитальный ремонт теплотрассы от ТК-37 до ТК-38 АГТС ПАО «ТГК-2»</t>
  </si>
  <si>
    <t>№ 1615/Дог25 от 30.06.2025</t>
  </si>
  <si>
    <t>Оказание услуг по проведению государственной экспертизы проектной документации объекта «Капитальный ремонт теплотрассы от ТК-12-1 до ТК-12-2 АГТС ПАО «ТГК-2»</t>
  </si>
  <si>
    <t xml:space="preserve">ООО «Теплоэлектромонтаж»
</t>
  </si>
  <si>
    <t xml:space="preserve">№ 553/Дог25 от 11.03.2025
</t>
  </si>
  <si>
    <t>Договор на работы по  ремонту основного и вспомогательного оборудования, зданий и сооружений и тепловых сетей на объектах  ПАО «ТГК-2» АГТС</t>
  </si>
  <si>
    <t xml:space="preserve">ООО "ТГК- 2 Энергоремонт" 
</t>
  </si>
  <si>
    <t>№ 2692/Дог24 от 28.12.2024</t>
  </si>
  <si>
    <t xml:space="preserve"> Договор на работы по техническому обслуживанию, текущему ремонту и устранению дефектов основного, вспомогательного оборудования АГТС</t>
  </si>
  <si>
    <t xml:space="preserve">ООО «Пирамида»
</t>
  </si>
  <si>
    <t xml:space="preserve">№ 645/Дог24 от 26.03.2024
</t>
  </si>
  <si>
    <t>1111</t>
  </si>
  <si>
    <t>111111</t>
  </si>
  <si>
    <t xml:space="preserve">ООО "ТГК-2 Энергоремонт"
</t>
  </si>
  <si>
    <t xml:space="preserve">ДОГОВОР № 2588/Дог24 от 24.12.2024
</t>
  </si>
  <si>
    <t>Договор на выполнение работ по техническому обслуживанию, текущему ремонту и устранению дефектов вспомогательного оборудования и тепловых сетей Северодвинских городских тепловых сетей ПАО "ТГК-2"</t>
  </si>
  <si>
    <t xml:space="preserve">ООО "Сармат"
</t>
  </si>
  <si>
    <t xml:space="preserve">ДОГОВОР № 1592/Дог25 от 07.08.2025
</t>
  </si>
  <si>
    <t>Договор на выполнение работ по ремонту зданий и сооружений Северодвинских городских тепловых сетей ПАО "ТГК-2"</t>
  </si>
  <si>
    <t xml:space="preserve">Общества с ограниченной ответственностью «Теплоэлектромонтаж»
</t>
  </si>
  <si>
    <t>ДОГОВОР № 1159/Дог25 от 20.05.2025</t>
  </si>
  <si>
    <t>Договор на проведение работ по ремонту электродвигателей Северодвинских городских тепловых сетей</t>
  </si>
  <si>
    <t xml:space="preserve">ИП Герасимчук П.А.
</t>
  </si>
  <si>
    <t xml:space="preserve">ДОГОВОР № 552/Дог25 от 24.03.2025
</t>
  </si>
  <si>
    <t>Договор на выполнение работ по восстановлению благоустройства после ремонтных работ Северодвинских городских тепловых сетей</t>
  </si>
  <si>
    <t>1111111</t>
  </si>
  <si>
    <t xml:space="preserve">ООО "ТГК-2 Энергоремонт"
</t>
  </si>
  <si>
    <t xml:space="preserve">220/Дог25 от 12.02.2025
</t>
  </si>
  <si>
    <t>"Договор на выполнение работ по ремонту основного и вспомогательного оборудования на объекте ПАО «ТГК-2»:
- Северодвинская ТЭЦ-1, Архангельская обл, Северодвинск г, Ягринское ш, 1/32
"</t>
  </si>
  <si>
    <t xml:space="preserve">2679/Дог24 от 28.12.2024
</t>
  </si>
  <si>
    <t>"Договор на выполнение работ по техническому обслуживанию, текущему ремонту и устранению дефектов основного, вспомогательного оборудования ПАО ""ТГК-2"" в составе:
- Северодвинской ТЭЦ-1, Архангельская обл, Северодвинск г, Ягринское ш, 1/32"</t>
  </si>
  <si>
    <t>1.3</t>
  </si>
  <si>
    <t xml:space="preserve">48/Дог26 от 04.02.2026
</t>
  </si>
  <si>
    <t xml:space="preserve">Договор на выполнение работ по ремонту оборудования КТЦ, ХЦ Северодвинская ТЭЦ-1 </t>
  </si>
  <si>
    <t>1.4</t>
  </si>
  <si>
    <t xml:space="preserve">№ 2685/Дог24 от 24.01.2025
</t>
  </si>
  <si>
    <t>Техническое обслуживание, текущий ремонт и устранение дефектов основного и вспомогательного оборудования Северодвинской ТЭЦ-2</t>
  </si>
  <si>
    <t>1.5</t>
  </si>
  <si>
    <t xml:space="preserve">№ 2740/Дог24 от 20.01.2025
</t>
  </si>
  <si>
    <t xml:space="preserve">Ремонт основного и вспомогательного оборудования </t>
  </si>
  <si>
    <t>1.6</t>
  </si>
  <si>
    <t xml:space="preserve">№ 464/Дог25  от 14.03.2025
</t>
  </si>
  <si>
    <t>Ремонт металлоконструкций полукозлового крана №4</t>
  </si>
  <si>
    <t xml:space="preserve">ООО «ТЕПЛОЭЛЕКТРОМОНТАЖ»
</t>
  </si>
  <si>
    <t xml:space="preserve">155/Дог25 от 06.02.2025
</t>
  </si>
  <si>
    <t xml:space="preserve">Договор на выполнение работ по капитальному, текущему ремонту турбогенераторов. Выполнение работ по ремонту основного и вспомогательного электротехнического оборудования и оборудования КИП и автоматики. </t>
  </si>
  <si>
    <t xml:space="preserve">ООО "ПИРАМИДА"
</t>
  </si>
  <si>
    <t xml:space="preserve">1063/Дог25 от 29.04.2025
</t>
  </si>
  <si>
    <t>Договор на выполнение работ по ремонту зданий и сооружений Северодвинской ТЭЦ-1</t>
  </si>
  <si>
    <t xml:space="preserve">№ 2784/Дог24 от 24.01.2025
</t>
  </si>
  <si>
    <t xml:space="preserve">Ремонт электроооборудования и контрольно-измерительных приборов и автоматики </t>
  </si>
  <si>
    <t xml:space="preserve">ООО «Путевой ресурс»
</t>
  </si>
  <si>
    <t xml:space="preserve">760/Дог25 от 31.03.2025
</t>
  </si>
  <si>
    <t>"Договор на выполнение работ
по ремонту подкрановых путей крана углеперегружателя -1,2 Северодвинской ТЭЦ-1"</t>
  </si>
  <si>
    <t xml:space="preserve">ООО «ВодолазСеверСервис"
</t>
  </si>
  <si>
    <t xml:space="preserve">1421/Дог25 от 09.06.2025
</t>
  </si>
  <si>
    <t>"Договор навыполнение работ по текущему ремонту следующего оборудования:
Оборудования и сооружений береговой насосной станции -2 Северодвинской ТЭЦ-1"</t>
  </si>
  <si>
    <t xml:space="preserve">№2225/Дог24 от 14.11.2024
</t>
  </si>
  <si>
    <t>Договор на выполнение работ по текущему ремонту трубопровода Ду1400 от водозаборного оголовка до здания БНС №2 Северодвинской ТЭЦ-1</t>
  </si>
  <si>
    <t xml:space="preserve">ООО «Реновация М»
</t>
  </si>
  <si>
    <t xml:space="preserve">2607/Дог25 от 10.12.2025
</t>
  </si>
  <si>
    <t>Договор на на выполнение работ по очистке отложений золы и шлака на отметке 0,00 м. в районе котлов №№ 5-9 котельного отделения КТЦ Северодвинской ТЭЦ-1</t>
  </si>
  <si>
    <t xml:space="preserve">ООО "ВИКА"
</t>
  </si>
  <si>
    <t xml:space="preserve">№ 678/Дог25 от 16.04.2025
</t>
  </si>
  <si>
    <t>Ремонт зданий и сооружений, антикоррозийная защита оборудования</t>
  </si>
  <si>
    <t xml:space="preserve">Акционерное общество «Инжиниринговый центр»
</t>
  </si>
  <si>
    <t xml:space="preserve">№ 495/Дог25 от 11.03.2025 
</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</si>
  <si>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</si>
  <si>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</si>
  <si>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</si>
  <si>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</si>
  <si>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</si>
  <si>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</si>
  <si>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</si>
  <si>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</si>
  <si>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</si>
  <si>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</si>
  <si>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</si>
  <si>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</si>
  <si>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</si>
  <si>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</si>
  <si>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</si>
  <si>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</si>
  <si>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</si>
  <si>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</si>
  <si>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</si>
  <si>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</si>
  <si>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</si>
  <si>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</si>
  <si>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</si>
  <si>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</si>
  <si>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</si>
  <si>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</si>
  <si>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</si>
  <si>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</si>
  <si>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</si>
  <si>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</si>
  <si>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</si>
  <si>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</si>
  <si>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</si>
  <si>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</si>
  <si>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</si>
  <si>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</si>
  <si>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</si>
  <si>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</si>
  <si>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</si>
  <si>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</si>
  <si>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</si>
  <si>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</si>
  <si>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</si>
  <si>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</si>
  <si>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</si>
  <si>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</si>
  <si>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</si>
  <si>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</si>
  <si>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</si>
  <si>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</si>
  <si>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</si>
  <si>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</si>
  <si>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</si>
  <si>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</si>
  <si>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</si>
  <si>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</si>
  <si>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</si>
  <si>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</si>
  <si>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</si>
  <si>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</si>
  <si>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</si>
  <si>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</si>
  <si>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</si>
  <si>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</si>
  <si>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</si>
  <si>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</si>
  <si>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</si>
  <si>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</si>
  <si>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</si>
  <si>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</si>
  <si>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</si>
  <si>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</si>
  <si>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</si>
  <si>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</si>
  <si>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</si>
  <si>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</si>
  <si>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</si>
  <si>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</si>
  <si>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</si>
  <si>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</si>
  <si>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</si>
  <si>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</si>
  <si>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</si>
  <si>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</si>
  <si>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</si>
  <si>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</si>
  <si>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</si>
  <si>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</si>
  <si>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</si>
  <si>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</si>
  <si>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</si>
  <si>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</si>
  <si>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</si>
  <si>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</si>
  <si>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</si>
  <si>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</si>
  <si>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</si>
  <si>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</si>
  <si>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</si>
  <si>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</si>
  <si>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</si>
  <si>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</si>
  <si>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</si>
  <si>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</si>
  <si>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</si>
  <si>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</si>
  <si>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</si>
  <si>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</si>
  <si>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</si>
  <si>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</si>
  <si>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</si>
  <si>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</si>
  <si>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</si>
  <si>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</si>
  <si>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</si>
  <si>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</si>
  <si>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</si>
  <si>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</si>
  <si>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</si>
  <si>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</si>
  <si>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</si>
  <si>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</si>
  <si>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</si>
  <si>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</si>
  <si>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</si>
  <si>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</si>
  <si>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</si>
  <si>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</si>
  <si>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</si>
  <si>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</si>
  <si>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</si>
  <si>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</si>
  <si>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</si>
  <si>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</si>
  <si>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</si>
  <si>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</si>
  <si>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</si>
  <si>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</si>
  <si>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</si>
  <si>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</si>
  <si>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</si>
  <si>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</si>
  <si>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</si>
  <si>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</si>
  <si>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</si>
  <si>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</si>
  <si>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</si>
  <si>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</si>
  <si>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</si>
  <si>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</si>
  <si>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</si>
  <si>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</si>
  <si>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</si>
  <si>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</si>
  <si>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</si>
  <si>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</si>
  <si>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</si>
  <si>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</si>
  <si>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</si>
  <si>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</si>
  <si>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</si>
  <si>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</si>
  <si>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</si>
  <si>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</si>
  <si>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</si>
  <si>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</si>
  <si>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</si>
  <si>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</si>
  <si>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</si>
  <si>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</si>
  <si>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</si>
  <si>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</si>
  <si>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</si>
  <si>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</si>
  <si>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</si>
  <si>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</si>
  <si>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</si>
  <si>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</si>
  <si>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</si>
  <si>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</si>
  <si>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</si>
  <si>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</si>
  <si>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</si>
  <si>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</si>
  <si>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</si>
  <si>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</si>
  <si>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</si>
  <si>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</si>
  <si>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</si>
  <si>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</si>
  <si>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</si>
  <si>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</si>
  <si>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</si>
  <si>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</si>
  <si>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</si>
  <si>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</si>
  <si>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</si>
  <si>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</si>
  <si>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</si>
  <si>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</si>
  <si>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</si>
  <si>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</si>
  <si>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</si>
  <si>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</si>
  <si>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</si>
  <si>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</si>
  <si>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</si>
  <si>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</si>
  <si>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</si>
  <si>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</si>
  <si>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</si>
  <si>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</si>
  <si>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</si>
  <si>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</si>
  <si>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</si>
  <si>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</si>
  <si>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</si>
  <si>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</si>
  <si>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</si>
  <si>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</si>
  <si>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</si>
  <si>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</si>
  <si>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</si>
  <si>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</si>
  <si>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</si>
  <si>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Не утверждены</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</si>
  <si>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</si>
  <si>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</si>
  <si>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</si>
  <si>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</si>
  <si>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</si>
  <si>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</si>
  <si>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</si>
  <si>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</si>
  <si>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</si>
  <si>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</si>
  <si>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</si>
  <si>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</si>
  <si>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</si>
  <si>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</si>
  <si>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</si>
  <si>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</si>
  <si>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</si>
  <si>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</si>
  <si>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</si>
  <si>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</si>
  <si>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</si>
  <si>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</si>
  <si>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</si>
  <si>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</si>
  <si>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</si>
  <si>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</si>
  <si>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</si>
  <si>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</si>
  <si>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</si>
  <si>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</si>
  <si>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</si>
  <si>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</si>
  <si>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</si>
  <si>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</si>
  <si>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</si>
  <si>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</si>
  <si>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</si>
  <si>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</si>
  <si>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</si>
  <si>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</si>
  <si>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</si>
  <si>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</si>
  <si>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</si>
  <si>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</si>
  <si>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</si>
  <si>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</si>
  <si>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</si>
  <si>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</si>
  <si>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</si>
  <si>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</si>
  <si>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</si>
  <si>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</si>
  <si>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</si>
  <si>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</si>
  <si>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</si>
  <si>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</si>
  <si>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</si>
  <si>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</si>
  <si>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</si>
  <si>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</si>
  <si>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</si>
  <si>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</si>
  <si>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</si>
  <si>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</si>
  <si>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</si>
  <si>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</si>
  <si>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</si>
  <si>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</si>
  <si>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</si>
  <si>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</si>
  <si>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</si>
  <si>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</si>
  <si>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</si>
  <si>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</si>
  <si>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</si>
  <si>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</si>
  <si>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</si>
  <si>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</si>
  <si>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</si>
  <si>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</si>
  <si>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</si>
  <si>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</si>
  <si>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</si>
  <si>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</si>
  <si>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</si>
  <si>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</si>
  <si>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</si>
  <si>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</si>
  <si>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</si>
  <si>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</si>
  <si>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</si>
  <si>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</si>
  <si>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</si>
  <si>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</si>
  <si>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</si>
  <si>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</si>
  <si>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</si>
  <si>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</si>
  <si>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</si>
  <si>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</si>
  <si>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</si>
  <si>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</si>
  <si>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</si>
  <si>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</si>
  <si>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</si>
  <si>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</si>
  <si>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</si>
  <si>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</si>
  <si>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</si>
  <si>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</si>
  <si>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</si>
  <si>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</si>
  <si>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</si>
  <si>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</si>
  <si>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</si>
  <si>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</si>
  <si>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</si>
  <si>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</si>
  <si>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</si>
  <si>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</si>
  <si>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</si>
  <si>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</si>
  <si>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</si>
  <si>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</si>
  <si>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</si>
  <si>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</si>
  <si>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</si>
  <si>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</si>
  <si>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</si>
  <si>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</si>
  <si>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</si>
  <si>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</si>
  <si>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</si>
  <si>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</si>
  <si>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</si>
  <si>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</si>
  <si>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</si>
  <si>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</si>
  <si>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</si>
  <si>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</si>
  <si>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</si>
  <si>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</si>
  <si>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</si>
  <si>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</si>
  <si>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</si>
  <si>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</si>
  <si>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</si>
  <si>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</si>
  <si>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</si>
  <si>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</si>
  <si>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</si>
  <si>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</si>
  <si>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</si>
  <si>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</si>
  <si>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</si>
  <si>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</si>
  <si>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</si>
  <si>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</si>
  <si>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</si>
  <si>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</si>
  <si>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</si>
  <si>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Инвестиционная программа от 18.11.2013 ПАО "ТГК-2" в сфере теплоснабжения по строительству, реконструкции, модернизации и развитию систем теплоснабжения от котельных и тепловых сетей, на территории городского округа Архангельск на 2014-2026 годы</t>
  </si>
  <si>
    <t>уменьшение удельных затрат (повышение КПД); уменьшение издержек на производство; снижение аварийности; улучшение качества; повышение надёжности и энергетической эффективности</t>
  </si>
  <si>
    <t>Министерство топливно-энергетического комплекса и жилищно-коммунального хозяйства Архангельской области</t>
  </si>
  <si>
    <t>Администрация городского округа "Город Архангельск", Администрация муниципального округа Архангельской области "Город Северодвинск"</t>
  </si>
  <si>
    <t>01.01.2014</t>
  </si>
  <si>
    <t>31.12.2026</t>
  </si>
  <si>
    <t>Об утверждении инвестиционной программы ПАО «ТГК-2» в сфере теплоснабжения на территории Архангельской области</t>
  </si>
  <si>
    <t>постановление</t>
  </si>
  <si>
    <t>200-п</t>
  </si>
  <si>
    <t>18.11.2013</t>
  </si>
  <si>
    <t>О внесении изменений в постановление министерства топливно-энергетического комплекса и жилищно-коммунального хозяйства Архангельской области; О внесении изменений в инвестиционную программу ПАО "ТГК-2" (7606053324) в сфере теплоснабжения на территории Архангельской области</t>
  </si>
  <si>
    <t>Постановление</t>
  </si>
  <si>
    <t>228-п; 9-п</t>
  </si>
  <si>
    <t>ip_5</t>
  </si>
  <si>
    <t>Добавить реквизиты</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</si>
  <si>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</si>
  <si>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</si>
  <si>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</si>
  <si>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</si>
  <si>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</si>
  <si>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</si>
  <si>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</si>
  <si>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</si>
  <si>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</si>
  <si>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</si>
  <si>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</si>
  <si>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</si>
  <si>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</si>
  <si>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</si>
  <si>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</si>
  <si>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</si>
  <si>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</si>
  <si>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</si>
  <si>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</si>
  <si>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</si>
  <si>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</si>
  <si>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</si>
  <si>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</si>
  <si>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</si>
  <si>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</si>
  <si>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</si>
  <si>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</si>
  <si>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</si>
  <si>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</si>
  <si>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</si>
  <si>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t>Добавить мероприятие</t>
  </si>
  <si>
    <t>HEAT_IP_EVENT_SUBGROUP_1_LIST</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</si>
  <si>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</si>
  <si>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новых тепловых сетей в целях подключения потребителей</t>
  </si>
  <si>
    <t>Декабрь</t>
  </si>
  <si>
    <t>2026</t>
  </si>
  <si>
    <t>Срок выполнения не наступил</t>
  </si>
  <si>
    <t xml:space="preserve">  За счет платы за технологическое присоединение</t>
  </si>
  <si>
    <t xml:space="preserve">  Прибыль направляемая на инвестиции</t>
  </si>
  <si>
    <t>Добавить источник финансирования</t>
  </si>
  <si>
    <t>Добавить объект инфраструктуры</t>
  </si>
  <si>
    <t>увеличение пропускной способности существующих тепловых сетей в целях подключения потребителей</t>
  </si>
  <si>
    <t>2028</t>
  </si>
  <si>
    <t xml:space="preserve">      Прочие амортизационные отчисления</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</si>
  <si>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</si>
  <si>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Октябрь</t>
  </si>
  <si>
    <t>HEAT_IP_EVENT_SUBGROUP_3_LIST</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</si>
  <si>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</si>
  <si>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тепловых сетей</t>
  </si>
  <si>
    <t>2027</t>
  </si>
  <si>
    <t xml:space="preserve">      Экономия расходов в результате реализации мероприятий инвестиционной программы</t>
  </si>
  <si>
    <t>реконструкция или модернизация существующих объектов теплоснабжения, за исключением тепловых сетей</t>
  </si>
  <si>
    <t xml:space="preserve">  Кредиты</t>
  </si>
  <si>
    <t>Мероприятия, направленные на повышение энергоэффективности в сфере теплоснабжения</t>
  </si>
  <si>
    <t>2025</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</si>
  <si>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</si>
  <si>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</si>
  <si>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</si>
  <si>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</si>
  <si>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</si>
  <si>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</si>
  <si>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</si>
  <si>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</si>
  <si>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Амортизационные отчисления за исключением переоценки основных средств и нематериальных активов</t>
  </si>
  <si>
    <t>Амортизационные отчисления в результате переоценки основных средств и нематериальных активов</t>
  </si>
  <si>
    <t>Капитальные вложения (инвестиции), финансируемые за счет нормативной прибыли, учитываемой в необходимой валовой выручке</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</si>
  <si>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</si>
  <si>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</si>
  <si>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</si>
  <si>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</si>
  <si>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</si>
  <si>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</si>
  <si>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</si>
  <si>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</si>
  <si>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</si>
  <si>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</si>
  <si>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</si>
  <si>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</si>
  <si>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</si>
  <si>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</si>
  <si>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</si>
  <si>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</si>
  <si>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</si>
  <si>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</si>
  <si>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</si>
  <si>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</si>
  <si>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</si>
  <si>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</si>
  <si>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</si>
  <si>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</si>
  <si>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</si>
  <si>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</si>
  <si>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</si>
  <si>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</si>
  <si>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</si>
  <si>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</si>
  <si>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</si>
  <si>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</si>
  <si>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</si>
  <si>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</si>
  <si>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</si>
  <si>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</si>
  <si>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</si>
  <si>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</si>
  <si>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</si>
  <si>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</si>
  <si>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</si>
  <si>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</si>
  <si>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</si>
  <si>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</si>
  <si>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</si>
  <si>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</si>
  <si>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</si>
  <si>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</si>
  <si>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</si>
  <si>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</si>
  <si>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</si>
  <si>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</si>
  <si>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</si>
  <si>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</si>
  <si>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</si>
  <si>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</si>
  <si>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</si>
  <si>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</si>
  <si>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</si>
  <si>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</si>
  <si>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</si>
  <si>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</si>
  <si>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</si>
  <si>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</si>
  <si>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</si>
  <si>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</si>
  <si>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</si>
  <si>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</si>
  <si>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</si>
  <si>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</si>
  <si>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</si>
  <si>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</si>
  <si>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</si>
  <si>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</si>
  <si>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</si>
  <si>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</si>
  <si>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</si>
  <si>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</si>
  <si>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</si>
  <si>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</si>
  <si>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</si>
  <si>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</si>
  <si>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</si>
  <si>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</si>
  <si>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повышение надёжности и энергетической эффективности</t>
  </si>
  <si>
    <t>Котельная  в Талажском авиагородке</t>
  </si>
  <si>
    <t>Архангельские городские тепловые сети</t>
  </si>
  <si>
    <t>Северодвинские городские тепловые сети</t>
  </si>
  <si>
    <t>Добавить цель</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</si>
  <si>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</si>
  <si>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</si>
  <si>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</si>
  <si>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</si>
  <si>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</si>
  <si>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</si>
  <si>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</si>
  <si>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</si>
  <si>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</si>
  <si>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</si>
  <si>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</si>
  <si>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</si>
  <si>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</si>
  <si>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</si>
  <si>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</si>
  <si>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</si>
  <si>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</si>
  <si>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</si>
  <si>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</si>
  <si>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</si>
  <si>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</si>
  <si>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</si>
  <si>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</si>
  <si>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</si>
  <si>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</si>
  <si>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</si>
  <si>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</si>
  <si>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</si>
  <si>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</si>
  <si>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</si>
  <si>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</si>
  <si>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</si>
  <si>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</si>
  <si>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</si>
  <si>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</si>
  <si>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</si>
  <si>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</si>
  <si>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</si>
  <si>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</si>
  <si>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</si>
  <si>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</si>
  <si>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</si>
  <si>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</si>
  <si>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</si>
  <si>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</si>
  <si>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</si>
  <si>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</si>
  <si>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</si>
  <si>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</si>
  <si>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</si>
  <si>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</si>
  <si>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</si>
  <si>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</si>
  <si>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</si>
  <si>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</si>
  <si>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</si>
  <si>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</si>
  <si>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</si>
  <si>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</si>
  <si>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</si>
  <si>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</si>
  <si>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</si>
  <si>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</si>
  <si>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</si>
  <si>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</si>
  <si>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</si>
  <si>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</si>
  <si>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</si>
  <si>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</si>
  <si>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</si>
  <si>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</si>
  <si>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</si>
  <si>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</si>
  <si>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</si>
  <si>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</si>
  <si>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</si>
  <si>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</si>
  <si>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</si>
  <si>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</si>
  <si>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</si>
  <si>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</si>
  <si>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</si>
  <si>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</si>
  <si>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</si>
  <si>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</si>
  <si>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</si>
  <si>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</si>
  <si>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</si>
  <si>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</si>
  <si>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</si>
  <si>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</si>
  <si>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</si>
  <si>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</si>
  <si>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</si>
  <si>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</si>
  <si>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</si>
  <si>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</si>
  <si>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</si>
  <si>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</si>
  <si>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</si>
  <si>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</si>
  <si>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</si>
  <si>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</si>
  <si>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</si>
  <si>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</si>
  <si>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</si>
  <si>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</si>
  <si>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</si>
  <si>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</si>
  <si>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</si>
  <si>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</si>
  <si>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</si>
  <si>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</si>
  <si>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</si>
  <si>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</si>
  <si>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</si>
  <si>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</si>
  <si>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</si>
  <si>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</si>
  <si>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</si>
  <si>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</si>
  <si>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</si>
  <si>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</si>
  <si>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</si>
  <si>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</si>
  <si>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</si>
  <si>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</si>
  <si>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</si>
  <si>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</si>
  <si>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</si>
  <si>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</si>
  <si>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</si>
  <si>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</si>
  <si>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</si>
  <si>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</si>
  <si>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</si>
  <si>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</si>
  <si>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</si>
  <si>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</si>
  <si>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</si>
  <si>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</si>
  <si>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</si>
  <si>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</si>
  <si>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</si>
  <si>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</si>
  <si>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</si>
  <si>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</si>
  <si>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</si>
  <si>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</si>
  <si>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</si>
  <si>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</si>
  <si>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</si>
  <si>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</si>
  <si>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</si>
  <si>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</si>
  <si>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</si>
  <si>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</si>
  <si>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</si>
  <si>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</si>
  <si>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</si>
  <si>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</si>
  <si>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</si>
  <si>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</si>
  <si>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</si>
  <si>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</si>
  <si>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</si>
  <si>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</si>
  <si>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</si>
  <si>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</si>
  <si>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</si>
  <si>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</si>
  <si>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</si>
  <si>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</si>
  <si>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</si>
  <si>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</si>
  <si>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</si>
  <si>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</si>
  <si>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</si>
  <si>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</si>
  <si>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</si>
  <si>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</si>
  <si>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</si>
  <si>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</si>
  <si>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</si>
  <si>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</si>
  <si>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</si>
  <si>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</si>
  <si>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isPrint</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</si>
  <si>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</si>
  <si>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</si>
  <si>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</si>
  <si>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</si>
  <si>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</si>
  <si>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</si>
  <si>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</si>
  <si>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</si>
  <si>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</si>
  <si>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</si>
  <si>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</si>
  <si>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</si>
  <si>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</si>
  <si>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</si>
  <si>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</si>
  <si>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</si>
  <si>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</si>
  <si>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</si>
  <si>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Февраль</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</si>
  <si>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</si>
  <si>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</si>
  <si>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</si>
  <si>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</si>
  <si>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</si>
  <si>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</si>
  <si>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</si>
  <si>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</si>
  <si>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</si>
  <si>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</si>
  <si>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</si>
  <si>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</si>
  <si>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</si>
  <si>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</si>
  <si>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</si>
  <si>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</si>
  <si>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</si>
  <si>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</si>
  <si>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</si>
  <si>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</si>
  <si>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</si>
  <si>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</si>
  <si>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</si>
  <si>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</si>
  <si>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</si>
  <si>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</si>
  <si>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</si>
  <si>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</si>
  <si>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</si>
  <si>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</si>
  <si>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</si>
  <si>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</si>
  <si>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</si>
  <si>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</si>
  <si>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</si>
  <si>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</si>
  <si>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</si>
  <si>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</si>
  <si>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</si>
  <si>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</si>
  <si>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</si>
  <si>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</si>
  <si>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</si>
  <si>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</si>
  <si>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</si>
  <si>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</si>
  <si>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</si>
  <si>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</si>
  <si>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</si>
  <si>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</si>
  <si>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Амортизационные отчисления за исключением переоценки основных средств и нематериальных активов</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</si>
  <si>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</si>
  <si>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</si>
  <si>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</si>
  <si>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</si>
  <si>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Типы тарифов /kind_of_type_price/</t>
  </si>
  <si>
    <t>НДС общий_x000D_
/kind_of_NDS_tariff/</t>
  </si>
  <si>
    <t>НДС_x000D_
/kind_of_NDS_tariff/</t>
  </si>
  <si>
    <t>горячая вода в системе централизованного теплоснабжения на отопление</t>
  </si>
  <si>
    <t>Плата за подключение к системе теплоснабжения</t>
  </si>
  <si>
    <t>07</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</si>
  <si>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</si>
  <si>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</si>
  <si>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</si>
  <si>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</si>
  <si>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</si>
  <si>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</si>
  <si>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только по регулируемым ценам</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</si>
  <si>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</si>
  <si>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</si>
  <si>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</si>
  <si>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</si>
  <si>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</si>
  <si>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</si>
  <si>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</si>
  <si>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</si>
  <si>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</si>
  <si>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</si>
  <si>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</si>
  <si>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</si>
  <si>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</si>
  <si>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</si>
  <si>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</si>
  <si>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только по нерегулируемым ценам</t>
  </si>
  <si>
    <t>тариф указан без НДС для плательщиков НДС</t>
  </si>
  <si>
    <t>тариф не утверждался</t>
  </si>
  <si>
    <t>кВт*ч</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</si>
  <si>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</si>
  <si>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</si>
  <si>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</si>
  <si>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</si>
  <si>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Август</t>
  </si>
  <si>
    <t xml:space="preserve">  [ Экономия расходов ]</t>
  </si>
  <si>
    <t xml:space="preserve">      Прочие займы</t>
  </si>
  <si>
    <t>г.Байконур</t>
  </si>
  <si>
    <t>ноябрь</t>
  </si>
  <si>
    <t>по регулируемым и нерегулируемым ценам</t>
  </si>
  <si>
    <t>МВт</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</si>
  <si>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</si>
  <si>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</si>
  <si>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</si>
  <si>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</si>
  <si>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</si>
  <si>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</si>
  <si>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</si>
  <si>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</si>
  <si>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</si>
  <si>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</si>
  <si>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</si>
  <si>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</si>
  <si>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</si>
  <si>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</si>
  <si>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</si>
  <si>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</si>
  <si>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</si>
  <si>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</si>
  <si>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</si>
  <si>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</si>
  <si>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</si>
  <si>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</si>
  <si>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</si>
  <si>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</si>
  <si>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</si>
  <si>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</si>
  <si>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</si>
  <si>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</si>
  <si>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</si>
  <si>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</si>
  <si>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</si>
  <si>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</si>
  <si>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</si>
  <si>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</si>
  <si>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</si>
  <si>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</si>
  <si>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</si>
  <si>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</si>
  <si>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</si>
  <si>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</si>
  <si>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</si>
  <si>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</si>
  <si>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</si>
  <si>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</si>
  <si>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</si>
  <si>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</si>
  <si>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</si>
  <si>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</si>
  <si>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</si>
  <si>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</si>
  <si>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</si>
  <si>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</si>
  <si>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</si>
  <si>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</si>
  <si>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</si>
  <si>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</si>
  <si>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</si>
  <si>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</si>
  <si>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</si>
  <si>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</si>
  <si>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</si>
  <si>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</si>
  <si>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</si>
  <si>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</si>
  <si>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</si>
  <si>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</si>
  <si>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</si>
  <si>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</si>
  <si>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</si>
  <si>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</si>
  <si>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</si>
  <si>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</si>
  <si>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</si>
  <si>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</si>
  <si>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</si>
  <si>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</si>
  <si>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</si>
  <si>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</si>
  <si>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</si>
  <si>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</si>
  <si>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</si>
  <si>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</si>
  <si>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</si>
  <si>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</si>
  <si>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</si>
  <si>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</si>
  <si>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</si>
  <si>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</si>
  <si>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</si>
  <si>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</si>
  <si>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</si>
  <si>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</si>
  <si>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</si>
  <si>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</si>
  <si>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</si>
  <si>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</si>
  <si>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</si>
  <si>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</si>
  <si>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</si>
  <si>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</si>
  <si>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</si>
  <si>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</si>
  <si>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</si>
  <si>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</si>
  <si>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</si>
  <si>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</si>
  <si>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</si>
  <si>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</si>
  <si>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</si>
  <si>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</si>
  <si>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</si>
  <si>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</si>
  <si>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</si>
  <si>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</si>
  <si>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</si>
  <si>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</si>
  <si>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</si>
  <si>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</si>
  <si>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</si>
  <si>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</si>
  <si>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</si>
  <si>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</si>
  <si>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</si>
  <si>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</si>
  <si>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</si>
  <si>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</si>
  <si>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</si>
  <si>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</si>
  <si>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</si>
  <si>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</si>
  <si>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</si>
  <si>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</si>
  <si>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</si>
  <si>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</si>
  <si>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</si>
  <si>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</si>
  <si>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</si>
  <si>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</si>
  <si>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</si>
  <si>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</si>
  <si>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</si>
  <si>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</si>
  <si>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</si>
  <si>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</si>
  <si>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</si>
  <si>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</si>
  <si>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</si>
  <si>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</si>
  <si>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</si>
  <si>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</si>
  <si>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</si>
  <si>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</si>
  <si>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</si>
  <si>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</si>
  <si>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</si>
  <si>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</si>
  <si>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</si>
  <si>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</si>
  <si>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</si>
  <si>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</si>
  <si>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</si>
  <si>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</si>
  <si>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</si>
  <si>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</si>
  <si>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</si>
  <si>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</si>
  <si>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</si>
  <si>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</si>
  <si>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</si>
  <si>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</si>
  <si>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</si>
  <si>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</si>
  <si>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</si>
  <si>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</si>
  <si>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</si>
  <si>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</si>
  <si>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</si>
  <si>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</si>
  <si>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</si>
  <si>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</si>
  <si>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</si>
  <si>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</si>
  <si>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</si>
  <si>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</si>
  <si>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</si>
  <si>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</si>
  <si>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</si>
  <si>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</si>
  <si>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</si>
  <si>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</si>
  <si>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</si>
  <si>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</si>
  <si>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</si>
  <si>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</si>
  <si>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</si>
  <si>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</si>
  <si>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</si>
  <si>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</si>
  <si>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</si>
  <si>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</si>
  <si>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</si>
  <si>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</si>
  <si>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</si>
  <si>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</si>
  <si>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</si>
  <si>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</si>
  <si>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</si>
  <si>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</si>
  <si>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</si>
  <si>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</si>
  <si>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</si>
  <si>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</si>
  <si>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</si>
  <si>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</si>
  <si>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</si>
  <si>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</si>
  <si>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</si>
  <si>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</si>
  <si>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</si>
  <si>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</si>
  <si>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</si>
  <si>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</si>
  <si>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</si>
  <si>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</si>
  <si>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</si>
  <si>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</si>
  <si>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</si>
  <si>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</si>
  <si>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</si>
  <si>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</si>
  <si>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</si>
  <si>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</si>
  <si>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</si>
  <si>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</si>
  <si>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</si>
  <si>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</si>
  <si>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</si>
  <si>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</si>
  <si>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</si>
  <si>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</si>
  <si>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</si>
  <si>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</si>
  <si>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</si>
  <si>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</si>
  <si>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</si>
  <si>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</si>
  <si>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</si>
  <si>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</si>
  <si>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</si>
  <si>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</si>
  <si>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</si>
  <si>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</si>
  <si>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</si>
  <si>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</si>
  <si>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</si>
  <si>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</si>
  <si>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</si>
  <si>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</si>
  <si>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</si>
  <si>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</si>
  <si>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</si>
  <si>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</si>
  <si>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</si>
  <si>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</si>
  <si>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</si>
  <si>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</si>
  <si>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</si>
  <si>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</si>
  <si>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</si>
  <si>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</si>
  <si>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</si>
  <si>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</si>
  <si>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</si>
  <si>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</si>
  <si>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</si>
  <si>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</si>
  <si>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</si>
  <si>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</si>
  <si>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</si>
  <si>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</si>
  <si>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</si>
  <si>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</si>
  <si>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</si>
  <si>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</si>
  <si>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</si>
  <si>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</si>
  <si>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</si>
  <si>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</si>
  <si>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</si>
  <si>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</si>
  <si>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</si>
  <si>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</si>
  <si>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</si>
  <si>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</si>
  <si>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</si>
  <si>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</si>
  <si>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</si>
  <si>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</si>
  <si>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</si>
  <si>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</si>
  <si>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</si>
  <si>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</si>
  <si>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</si>
  <si>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</si>
  <si>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</si>
  <si>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</si>
  <si>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</si>
  <si>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</si>
  <si>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</si>
  <si>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</si>
  <si>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</si>
  <si>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</si>
  <si>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</si>
  <si>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</si>
  <si>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</si>
  <si>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</si>
  <si>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</si>
  <si>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</si>
  <si>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</si>
  <si>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</si>
  <si>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VSNA_IP_EVENT_SUBGROUP_1_LIST</t>
  </si>
  <si>
    <t>VOTV_IP_EVENT_SUBGROUP_1_LIST</t>
  </si>
  <si>
    <t>Тюменская область</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</si>
  <si>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</si>
  <si>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</si>
  <si>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</si>
  <si>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</si>
  <si>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</si>
  <si>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</si>
  <si>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</si>
  <si>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</si>
  <si>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</si>
  <si>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</si>
  <si>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</si>
  <si>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</si>
  <si>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</si>
  <si>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</si>
  <si>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</si>
  <si>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</si>
  <si>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</si>
  <si>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</si>
  <si>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</si>
  <si>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VSNA_IP_EVENT_SUBGROUP_3_LIST</t>
  </si>
  <si>
    <t>VOTV_IP_EVENT_SUBGROUP_3_LIST</t>
  </si>
  <si>
    <t>Чеченская республика</t>
  </si>
  <si>
    <t>крупногабаритные</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</si>
  <si>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</si>
  <si>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</si>
  <si>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</si>
  <si>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</si>
  <si>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</si>
  <si>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</si>
  <si>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</si>
  <si>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</si>
  <si>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</si>
  <si>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</si>
  <si>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</si>
  <si>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</si>
  <si>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</si>
  <si>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</si>
  <si>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</si>
  <si>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</si>
  <si>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</si>
  <si>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</si>
  <si>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</si>
  <si>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</si>
  <si>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</si>
  <si>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</si>
  <si>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</si>
  <si>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</si>
  <si>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</si>
  <si>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</si>
  <si>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</si>
  <si>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</si>
  <si>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</si>
  <si>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</si>
  <si>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</si>
  <si>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</si>
  <si>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</si>
  <si>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</si>
  <si>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</si>
  <si>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</si>
  <si>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</si>
  <si>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</si>
  <si>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</si>
  <si>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</si>
  <si>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</si>
  <si>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</si>
  <si>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</si>
  <si>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</si>
  <si>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</si>
  <si>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</si>
  <si>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</si>
  <si>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</si>
  <si>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</si>
  <si>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</si>
  <si>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</si>
  <si>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</si>
  <si>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</si>
  <si>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</si>
  <si>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</si>
  <si>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</si>
  <si>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</si>
  <si>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</si>
  <si>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</si>
  <si>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</si>
  <si>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</si>
  <si>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</si>
  <si>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</si>
  <si>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</si>
  <si>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</si>
  <si>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</si>
  <si>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</si>
  <si>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</si>
  <si>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</si>
  <si>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</si>
  <si>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</si>
  <si>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</si>
  <si>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</si>
  <si>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</si>
  <si>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</si>
  <si>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</si>
  <si>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</si>
  <si>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</si>
  <si>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</si>
  <si>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</si>
  <si>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</si>
  <si>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</si>
  <si>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</si>
  <si>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</si>
  <si>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</si>
  <si>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</si>
  <si>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</si>
  <si>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</si>
  <si>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</si>
  <si>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</si>
  <si>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</si>
  <si>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</si>
  <si>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</si>
  <si>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</si>
  <si>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</si>
  <si>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</si>
  <si>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</si>
  <si>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</si>
  <si>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</si>
  <si>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</si>
  <si>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</si>
  <si>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</si>
  <si>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</si>
  <si>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</si>
  <si>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</si>
  <si>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</si>
  <si>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</si>
  <si>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</si>
  <si>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</si>
  <si>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</si>
  <si>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</si>
  <si>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</si>
  <si>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</si>
  <si>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</si>
  <si>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</si>
  <si>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</si>
  <si>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</si>
  <si>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</si>
  <si>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</si>
  <si>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</si>
  <si>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</si>
  <si>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</si>
  <si>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</si>
  <si>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</si>
  <si>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</si>
  <si>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</si>
  <si>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</si>
  <si>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</si>
  <si>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</si>
  <si>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</si>
  <si>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</si>
  <si>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</si>
  <si>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et_IP_MAIN_PROPERTY</t>
  </si>
  <si>
    <t>et_IP_DETAILED</t>
  </si>
  <si>
    <t>et_IP_DETAILED_OBJECT</t>
  </si>
  <si>
    <t>et_IP_DETAILED_IST_FIN</t>
  </si>
  <si>
    <t>et_IP_DETAILED_EVENT</t>
  </si>
  <si>
    <t>et_QRE</t>
  </si>
  <si>
    <t>et_B_FHD20_1_NOT_HEAT</t>
  </si>
  <si>
    <t>et_B_FHD20_1_HEAT</t>
  </si>
  <si>
    <t>et_B_FHD20_2, _3, _4</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</si>
  <si>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</si>
  <si>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</si>
  <si>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</si>
  <si>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</si>
  <si>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</si>
  <si>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</si>
  <si>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</si>
  <si>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</si>
  <si>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</si>
  <si>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</si>
  <si>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</si>
  <si>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</si>
  <si>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</si>
  <si>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</si>
  <si>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</si>
  <si>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</si>
  <si>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</si>
  <si>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</si>
  <si>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</si>
  <si>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</si>
  <si>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</si>
  <si>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</si>
  <si>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</si>
  <si>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</si>
  <si>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</si>
  <si>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</si>
  <si>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</si>
  <si>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</si>
  <si>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</si>
  <si>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</si>
  <si>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</si>
  <si>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</si>
  <si>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</si>
  <si>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</si>
  <si>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</si>
  <si>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</si>
  <si>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</si>
  <si>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</si>
  <si>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</si>
  <si>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</si>
  <si>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</si>
  <si>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</si>
  <si>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</si>
  <si>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</si>
  <si>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</si>
  <si>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</si>
  <si>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</si>
  <si>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</si>
  <si>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</si>
  <si>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</si>
  <si>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</si>
  <si>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</si>
  <si>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</si>
  <si>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</si>
  <si>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</si>
  <si>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</si>
  <si>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</si>
  <si>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</si>
  <si>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</si>
  <si>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</si>
  <si>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</si>
  <si>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</si>
  <si>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</si>
  <si>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</si>
  <si>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</si>
  <si>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</si>
  <si>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</si>
  <si>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</si>
  <si>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</si>
  <si>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</si>
  <si>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</si>
  <si>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</si>
  <si>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</si>
  <si>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</si>
  <si>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</si>
  <si>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</si>
  <si>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</si>
  <si>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</si>
  <si>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</si>
  <si>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</si>
  <si>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</si>
  <si>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</si>
  <si>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</si>
  <si>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</si>
  <si>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</si>
  <si>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</si>
  <si>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</si>
  <si>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</si>
  <si>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</si>
  <si>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</si>
  <si>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</si>
  <si>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</si>
  <si>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</si>
  <si>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</si>
  <si>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</si>
  <si>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</si>
  <si>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</si>
  <si>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</si>
  <si>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</si>
  <si>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</si>
  <si>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</si>
  <si>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</si>
  <si>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</si>
  <si>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</si>
  <si>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</si>
  <si>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</si>
  <si>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</si>
  <si>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</si>
  <si>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</si>
  <si>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</si>
  <si>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</si>
  <si>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</si>
  <si>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</si>
  <si>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</si>
  <si>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</si>
  <si>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</si>
  <si>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</si>
  <si>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</si>
  <si>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</si>
  <si>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</si>
  <si>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</si>
  <si>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</si>
  <si>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</si>
  <si>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</si>
  <si>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</si>
  <si>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</si>
  <si>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</si>
  <si>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</si>
  <si>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</si>
  <si>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</si>
  <si>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</si>
  <si>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</si>
  <si>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</si>
  <si>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</si>
  <si>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</si>
  <si>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</si>
  <si>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</si>
  <si>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</si>
  <si>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</si>
  <si>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</si>
  <si>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</si>
  <si>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</si>
  <si>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</si>
  <si>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</si>
  <si>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</si>
  <si>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</si>
  <si>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</si>
  <si>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</si>
  <si>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</si>
  <si>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</si>
  <si>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</si>
  <si>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</si>
  <si>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</si>
  <si>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</si>
  <si>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</si>
  <si>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</si>
  <si>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</si>
  <si>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</si>
  <si>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</si>
  <si>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</si>
  <si>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</si>
  <si>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</si>
  <si>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</si>
  <si>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</si>
  <si>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</si>
  <si>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</si>
  <si>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</si>
  <si>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</si>
  <si>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</si>
  <si>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</si>
  <si>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</si>
  <si>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</si>
  <si>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</si>
  <si>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</si>
  <si>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</si>
  <si>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</si>
  <si>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</si>
  <si>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</si>
  <si>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</si>
  <si>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</si>
  <si>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</si>
  <si>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</si>
  <si>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</si>
  <si>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</si>
  <si>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</si>
  <si>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</si>
  <si>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</si>
  <si>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</si>
  <si>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</si>
  <si>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</si>
  <si>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</si>
  <si>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</si>
  <si>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</si>
  <si>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</si>
  <si>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</si>
  <si>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</si>
  <si>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</si>
  <si>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</si>
  <si>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</si>
  <si>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</si>
  <si>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</si>
  <si>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</si>
  <si>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</si>
  <si>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</si>
  <si>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</si>
  <si>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</si>
  <si>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</si>
  <si>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</si>
  <si>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</si>
  <si>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</si>
  <si>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</si>
  <si>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</si>
  <si>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</si>
  <si>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</si>
  <si>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</si>
  <si>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</si>
  <si>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</si>
  <si>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</si>
  <si>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</si>
  <si>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</si>
  <si>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</si>
  <si>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</si>
  <si>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</si>
  <si>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</si>
  <si>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</si>
  <si>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</si>
  <si>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</si>
  <si>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</si>
  <si>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</si>
  <si>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</si>
  <si>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</si>
  <si>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</si>
  <si>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</si>
  <si>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</si>
  <si>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</si>
  <si>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</si>
  <si>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</si>
  <si>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</si>
  <si>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</si>
  <si>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</si>
  <si>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</si>
  <si>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</si>
  <si>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</si>
  <si>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</si>
  <si>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</si>
  <si>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</si>
  <si>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</si>
  <si>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</si>
  <si>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</si>
  <si>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</si>
  <si>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</si>
  <si>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</si>
  <si>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</si>
  <si>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</si>
  <si>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</si>
  <si>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</si>
  <si>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</si>
  <si>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</si>
  <si>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</si>
  <si>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</si>
  <si>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</si>
  <si>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</si>
  <si>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</si>
  <si>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</si>
  <si>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</si>
  <si>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</si>
  <si>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</si>
  <si>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</si>
  <si>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</si>
  <si>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</si>
  <si>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</si>
  <si>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</si>
  <si>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</si>
  <si>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</si>
  <si>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</si>
  <si>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</si>
  <si>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</si>
  <si>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</si>
  <si>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</si>
  <si>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</si>
  <si>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</si>
  <si>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</si>
  <si>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</si>
  <si>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</si>
  <si>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</si>
  <si>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</si>
  <si>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</si>
  <si>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</si>
  <si>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</si>
  <si>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</si>
  <si>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</si>
  <si>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</si>
  <si>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</si>
  <si>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</si>
  <si>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</si>
  <si>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</si>
  <si>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</si>
  <si>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</si>
  <si>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</si>
  <si>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</si>
  <si>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</si>
  <si>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</si>
  <si>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</si>
  <si>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</si>
  <si>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</si>
  <si>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</si>
  <si>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2607</t>
  </si>
  <si>
    <t>АГЕНТСТВО ПО ТАРИФАМ И ЦЕНАМ АРХАНГЕЛЬСКОЙ ОБЛАСТИ</t>
  </si>
  <si>
    <t>2901128698</t>
  </si>
  <si>
    <t>290101001</t>
  </si>
  <si>
    <t>26319585</t>
  </si>
  <si>
    <t>АО "2-ой Архангельский объединенный авиаотряд"</t>
  </si>
  <si>
    <t>2901125778</t>
  </si>
  <si>
    <t>292101001</t>
  </si>
  <si>
    <t>01-07-2004 00:00:00</t>
  </si>
  <si>
    <t>31717875</t>
  </si>
  <si>
    <t>АО "АТГК"</t>
  </si>
  <si>
    <t>2901315930</t>
  </si>
  <si>
    <t>24-11-2023 00:00:00</t>
  </si>
  <si>
    <t>26354800</t>
  </si>
  <si>
    <t>АО "Алейский маслосыркомбинат"</t>
  </si>
  <si>
    <t>2201000220</t>
  </si>
  <si>
    <t>220101001</t>
  </si>
  <si>
    <t>14-12-1992 00:00:00</t>
  </si>
  <si>
    <t>26355530</t>
  </si>
  <si>
    <t>АО "Архангельский ЦБК"</t>
  </si>
  <si>
    <t>2903000446</t>
  </si>
  <si>
    <t>290301001</t>
  </si>
  <si>
    <t>01-08-2002 00:00:00</t>
  </si>
  <si>
    <t>26454483</t>
  </si>
  <si>
    <t>АО "АрхоблЭнерго"</t>
  </si>
  <si>
    <t>2901179251</t>
  </si>
  <si>
    <t>21-05-2008 00:00:00</t>
  </si>
  <si>
    <t>26454467</t>
  </si>
  <si>
    <t>АО "Аэропорт Архангельск"</t>
  </si>
  <si>
    <t>2901015817</t>
  </si>
  <si>
    <t>16-12-2002 00:00:00</t>
  </si>
  <si>
    <t>27326889</t>
  </si>
  <si>
    <t>АО "ВРК-2"</t>
  </si>
  <si>
    <t>7708737517</t>
  </si>
  <si>
    <t>770801001</t>
  </si>
  <si>
    <t>27-06-2011 00:00:00</t>
  </si>
  <si>
    <t>31670814</t>
  </si>
  <si>
    <t>АО "ГТ Энерго"</t>
  </si>
  <si>
    <t>7703806647</t>
  </si>
  <si>
    <t>290743001</t>
  </si>
  <si>
    <t>22-07-2020 00:00:00</t>
  </si>
  <si>
    <t>28796046</t>
  </si>
  <si>
    <t>772801001</t>
  </si>
  <si>
    <t>30335229</t>
  </si>
  <si>
    <t>АО "ГУ ЖКХ"</t>
  </si>
  <si>
    <t>5116000922</t>
  </si>
  <si>
    <t>770401001</t>
  </si>
  <si>
    <t>26361132</t>
  </si>
  <si>
    <t>АО "Группа "Илим"</t>
  </si>
  <si>
    <t>7840346335</t>
  </si>
  <si>
    <t>290502001</t>
  </si>
  <si>
    <t>27-09-2006 00:00:00</t>
  </si>
  <si>
    <t>26355534</t>
  </si>
  <si>
    <t>АО "КЭМЗ"</t>
  </si>
  <si>
    <t>2904021840</t>
  </si>
  <si>
    <t>290401001</t>
  </si>
  <si>
    <t>31-03-2010 00:00:00</t>
  </si>
  <si>
    <t>26355540</t>
  </si>
  <si>
    <t>АО "Котласское ДРСУ"</t>
  </si>
  <si>
    <t>2904012719</t>
  </si>
  <si>
    <t>291301001</t>
  </si>
  <si>
    <t>21-03-2003 00:00:00</t>
  </si>
  <si>
    <t>26355557</t>
  </si>
  <si>
    <t>АО "Онега-Энергия"</t>
  </si>
  <si>
    <t>2906006277</t>
  </si>
  <si>
    <t>290601001</t>
  </si>
  <si>
    <t>09-12-2005 00:00:00</t>
  </si>
  <si>
    <t>26355553</t>
  </si>
  <si>
    <t>АО "Онежский ЛДК"</t>
  </si>
  <si>
    <t>2906000194</t>
  </si>
  <si>
    <t>29-08-2002 00:00:00</t>
  </si>
  <si>
    <t>26457531</t>
  </si>
  <si>
    <t>АО "ПО"Севмаш"</t>
  </si>
  <si>
    <t>2902059091</t>
  </si>
  <si>
    <t>290201001</t>
  </si>
  <si>
    <t>01-08-2006 00:00:00</t>
  </si>
  <si>
    <t>28503298</t>
  </si>
  <si>
    <t>АО "Сети"</t>
  </si>
  <si>
    <t>2903011092</t>
  </si>
  <si>
    <t>01-04-2014 00:00:00</t>
  </si>
  <si>
    <t>26464495</t>
  </si>
  <si>
    <t>АО "ЦС "Звездочка"</t>
  </si>
  <si>
    <t>2902060361</t>
  </si>
  <si>
    <t>12-11-2008 00:00:00</t>
  </si>
  <si>
    <t>27553270</t>
  </si>
  <si>
    <t>АО «ПЖРЭП»</t>
  </si>
  <si>
    <t>2902065289</t>
  </si>
  <si>
    <t>17-05-2010 00:00:00</t>
  </si>
  <si>
    <t>28007742</t>
  </si>
  <si>
    <t>Архангельская механизированная дистанция погрузочно-разгрузочных работ и коммерческих операций Северной дирекции по управлению терминально-складским комплексом - СП Центральной дирекции по управлению терминально-складским комплексом - филиала ОАО "РЖД"</t>
  </si>
  <si>
    <t>7708503727</t>
  </si>
  <si>
    <t>290145016</t>
  </si>
  <si>
    <t>23-09-2003 00:00:00</t>
  </si>
  <si>
    <t>27570862</t>
  </si>
  <si>
    <t>Вагонное ремонтное депо Ружино - обособленное структурное подразделение АО "Вагонная ремонтная компания-1"</t>
  </si>
  <si>
    <t>7708737490</t>
  </si>
  <si>
    <t>250745001</t>
  </si>
  <si>
    <t>30989587</t>
  </si>
  <si>
    <t>Вельский филиал АО "Архангельская областная энергетическая компания"</t>
  </si>
  <si>
    <t>10-08-2017 00:00:00</t>
  </si>
  <si>
    <t>26355564</t>
  </si>
  <si>
    <t>Вельское городское потребительское общество</t>
  </si>
  <si>
    <t>2907000246</t>
  </si>
  <si>
    <t>290701001</t>
  </si>
  <si>
    <t>23-12-2002 00:00:00</t>
  </si>
  <si>
    <t>26458271</t>
  </si>
  <si>
    <t>Виноградовский филиал АО "Архангельская областная энергетическая компания"</t>
  </si>
  <si>
    <t>292002001</t>
  </si>
  <si>
    <t>28956864</t>
  </si>
  <si>
    <t>ГАПОУ АО "Каргопольский индустриальный техникум"</t>
  </si>
  <si>
    <t>2911001370</t>
  </si>
  <si>
    <t>291101001</t>
  </si>
  <si>
    <t>02-02-2015 00:00:00</t>
  </si>
  <si>
    <t>28056886</t>
  </si>
  <si>
    <t>ГАУ Архангельской области "ЕЛЦ"</t>
  </si>
  <si>
    <t>2901159720</t>
  </si>
  <si>
    <t>15-02-2007 00:00:00</t>
  </si>
  <si>
    <t>27583812</t>
  </si>
  <si>
    <t>ГБОУ СПО Архангельской области "Шипицынский агропромышленный техникум"</t>
  </si>
  <si>
    <t>2913002410</t>
  </si>
  <si>
    <t>16-10-2002 00:00:00</t>
  </si>
  <si>
    <t>26456872</t>
  </si>
  <si>
    <t>ГБУЗ  АО "Санаторий имени М.Н. Фаворской"</t>
  </si>
  <si>
    <t>2914001089</t>
  </si>
  <si>
    <t>291401001</t>
  </si>
  <si>
    <t>26454336</t>
  </si>
  <si>
    <t>ЗАО "Лесозавод 25"</t>
  </si>
  <si>
    <t>2928001265</t>
  </si>
  <si>
    <t>04-12-2002 00:00:00</t>
  </si>
  <si>
    <t>26456461</t>
  </si>
  <si>
    <t>Завод железобетонных конструкций (г.Котлас) СМТ "Стройиндустрия" филиала ОАО "РЖДстрой"</t>
  </si>
  <si>
    <t>7708587205</t>
  </si>
  <si>
    <t>290445001</t>
  </si>
  <si>
    <t>30389049</t>
  </si>
  <si>
    <t>ИП Бородин Ю.Н.</t>
  </si>
  <si>
    <t>290216504405</t>
  </si>
  <si>
    <t>07-12-2015 00:00:00</t>
  </si>
  <si>
    <t>26458266</t>
  </si>
  <si>
    <t>ИП Денисов В.П.</t>
  </si>
  <si>
    <t>291000022979</t>
  </si>
  <si>
    <t>01-08-2019 00:00:00</t>
  </si>
  <si>
    <t>28870423</t>
  </si>
  <si>
    <t>ИП Попов Михаил Александрович</t>
  </si>
  <si>
    <t>290604109003</t>
  </si>
  <si>
    <t>15-07-2014 00:00:00</t>
  </si>
  <si>
    <t>26788551</t>
  </si>
  <si>
    <t>ИП Пуляев В.В.</t>
  </si>
  <si>
    <t>292200098656</t>
  </si>
  <si>
    <t>27831181</t>
  </si>
  <si>
    <t>ИП Рукаванов О.А.</t>
  </si>
  <si>
    <t>290406794205</t>
  </si>
  <si>
    <t>15-05-2002 00:00:00</t>
  </si>
  <si>
    <t>27881874</t>
  </si>
  <si>
    <t>ИП Суслонов В.А.</t>
  </si>
  <si>
    <t>291001027507</t>
  </si>
  <si>
    <t>28-04-2003 00:00:00</t>
  </si>
  <si>
    <t>28426116</t>
  </si>
  <si>
    <t>Индивидуальный предприниматель Звягина А.В.</t>
  </si>
  <si>
    <t>290222043671</t>
  </si>
  <si>
    <t>21-08-2008 00:00:00</t>
  </si>
  <si>
    <t>13-01-2025 00:00:00</t>
  </si>
  <si>
    <t>26456939</t>
  </si>
  <si>
    <t>Козьминское муниципальное унитарное производственное предприятие жилищно-коммунального хозяйства</t>
  </si>
  <si>
    <t>2915003297</t>
  </si>
  <si>
    <t>291501001</t>
  </si>
  <si>
    <t>26-07-2004 00:00:00</t>
  </si>
  <si>
    <t>26355622</t>
  </si>
  <si>
    <t>Котласский филиал АО "Архангельская областная энергетическая компания"</t>
  </si>
  <si>
    <t>290402001</t>
  </si>
  <si>
    <t>26456999</t>
  </si>
  <si>
    <t>Лешуконский филиал АО "Архангельская областная энергетическая компания"</t>
  </si>
  <si>
    <t>291602001</t>
  </si>
  <si>
    <t>26355627</t>
  </si>
  <si>
    <t>МБДОУ "Детский сад №3 "Теремок" ОРВ с.Яренск"</t>
  </si>
  <si>
    <t>2915002536</t>
  </si>
  <si>
    <t>06-10-1999 00:00:00</t>
  </si>
  <si>
    <t>04-04-2025 00:00:00</t>
  </si>
  <si>
    <t>26456695</t>
  </si>
  <si>
    <t>МБОУ "Выйская СОШ"</t>
  </si>
  <si>
    <t>2908002944</t>
  </si>
  <si>
    <t>290801001</t>
  </si>
  <si>
    <t>18-10-2002 00:00:00</t>
  </si>
  <si>
    <t>27578146</t>
  </si>
  <si>
    <t>МБОУ "Горковская СОШ"</t>
  </si>
  <si>
    <t>2908002983</t>
  </si>
  <si>
    <t>25-09-2002 00:00:00</t>
  </si>
  <si>
    <t>31738813</t>
  </si>
  <si>
    <t>МБОУ "Зеленниковская СОШ"</t>
  </si>
  <si>
    <t>2908002888</t>
  </si>
  <si>
    <t>18-01-2016 00:00:00</t>
  </si>
  <si>
    <t>27586578</t>
  </si>
  <si>
    <t>МБОУ "Карпогорская СШ  № 118"</t>
  </si>
  <si>
    <t>2919001974</t>
  </si>
  <si>
    <t>291901001</t>
  </si>
  <si>
    <t>10-11-2002 00:00:00</t>
  </si>
  <si>
    <t>26796837</t>
  </si>
  <si>
    <t>МБОУ "Климовская СШ"</t>
  </si>
  <si>
    <t>2912003570</t>
  </si>
  <si>
    <t>291201001</t>
  </si>
  <si>
    <t>30891542</t>
  </si>
  <si>
    <t>МБОУ "Конёвская школа"</t>
  </si>
  <si>
    <t>2920004955</t>
  </si>
  <si>
    <t>292001001</t>
  </si>
  <si>
    <t>10-09-1994 00:00:00</t>
  </si>
  <si>
    <t>31655484</t>
  </si>
  <si>
    <t>МБОУ "Куликовская средняя школа"</t>
  </si>
  <si>
    <t>2914001811</t>
  </si>
  <si>
    <t>30-12-2002 00:00:00</t>
  </si>
  <si>
    <t>27578105</t>
  </si>
  <si>
    <t>МБОУ "Ленская СШ"</t>
  </si>
  <si>
    <t>2915002173</t>
  </si>
  <si>
    <t>26-12-2002 00:00:00</t>
  </si>
  <si>
    <t>31027647</t>
  </si>
  <si>
    <t>МБОУ "Тавреньгская СШ"</t>
  </si>
  <si>
    <t>2912003404</t>
  </si>
  <si>
    <t>14-01-2000 00:00:00</t>
  </si>
  <si>
    <t>28874807</t>
  </si>
  <si>
    <t>МБОУ «Белослудская школа»</t>
  </si>
  <si>
    <t>2914001882</t>
  </si>
  <si>
    <t>17-12-2002 00:00:00</t>
  </si>
  <si>
    <t>26456867</t>
  </si>
  <si>
    <t>МП "Телеговское ЖКХ"</t>
  </si>
  <si>
    <t>2914003174</t>
  </si>
  <si>
    <t>10-10-2006 00:00:00</t>
  </si>
  <si>
    <t>26355526</t>
  </si>
  <si>
    <t>МПЖРЭП Северодвинска</t>
  </si>
  <si>
    <t>2902009446</t>
  </si>
  <si>
    <t>27588763</t>
  </si>
  <si>
    <t>МУК "Тавреньгский ЦД"</t>
  </si>
  <si>
    <t>2912005151</t>
  </si>
  <si>
    <t>28-12-2006 00:00:00</t>
  </si>
  <si>
    <t>26355664</t>
  </si>
  <si>
    <t>МУП "Бестужевское"</t>
  </si>
  <si>
    <t>2922007013</t>
  </si>
  <si>
    <t>292201001</t>
  </si>
  <si>
    <t>27-01-2006 00:00:00</t>
  </si>
  <si>
    <t>27861649</t>
  </si>
  <si>
    <t>МУП "Ерцевские теплосети"</t>
  </si>
  <si>
    <t>2912006155</t>
  </si>
  <si>
    <t>18-07-2012 00:00:00</t>
  </si>
  <si>
    <t>26355702</t>
  </si>
  <si>
    <t>МУП "ЖЭУ"</t>
  </si>
  <si>
    <t>2925003747</t>
  </si>
  <si>
    <t>292501001</t>
  </si>
  <si>
    <t>28263616</t>
  </si>
  <si>
    <t>МУП "Жилкомсервис"</t>
  </si>
  <si>
    <t>2912004912</t>
  </si>
  <si>
    <t>28-03-2006 00:00:00</t>
  </si>
  <si>
    <t>26355668</t>
  </si>
  <si>
    <t>МУП "Илезское"</t>
  </si>
  <si>
    <t>2922006997</t>
  </si>
  <si>
    <t>30840663</t>
  </si>
  <si>
    <t>МУП "Коношское благоустройство"</t>
  </si>
  <si>
    <t>2912004817</t>
  </si>
  <si>
    <t>26-01-2006 00:00:00</t>
  </si>
  <si>
    <t>04-02-2025 00:00:00</t>
  </si>
  <si>
    <t>28497687</t>
  </si>
  <si>
    <t>МУП "Плесецк-Ресурс"</t>
  </si>
  <si>
    <t>2920015308</t>
  </si>
  <si>
    <t>16-01-2014 00:00:00</t>
  </si>
  <si>
    <t>26355552</t>
  </si>
  <si>
    <t>МУП "Производственное управление жилищно-коммунального хозяйства"</t>
  </si>
  <si>
    <t>2905001195</t>
  </si>
  <si>
    <t>290501001</t>
  </si>
  <si>
    <t>27542514</t>
  </si>
  <si>
    <t>МУП "ТеплоСервис"</t>
  </si>
  <si>
    <t>2912005994</t>
  </si>
  <si>
    <t>03-05-2011 00:00:00</t>
  </si>
  <si>
    <t>26355578</t>
  </si>
  <si>
    <t>МУП "Хозьминское"</t>
  </si>
  <si>
    <t>2907010396</t>
  </si>
  <si>
    <t>18-08-2005 00:00:00</t>
  </si>
  <si>
    <t>29648929</t>
  </si>
  <si>
    <t>МУП "Холмогорский ВОДОКАНАЛ"</t>
  </si>
  <si>
    <t>2923007288</t>
  </si>
  <si>
    <t>292301001</t>
  </si>
  <si>
    <t>17-07-2015 00:00:00</t>
  </si>
  <si>
    <t>21-01-2025 00:00:00</t>
  </si>
  <si>
    <t>26458610</t>
  </si>
  <si>
    <t>МУП Каргопольского муниципального округа "Архангело"</t>
  </si>
  <si>
    <t>2911004420</t>
  </si>
  <si>
    <t>02-02-2004 00:00:00</t>
  </si>
  <si>
    <t>20-03-2026 00:00:00</t>
  </si>
  <si>
    <t>26355609</t>
  </si>
  <si>
    <t>МУП Каргопольского муниципального округа "Казаково"</t>
  </si>
  <si>
    <t>2911004405</t>
  </si>
  <si>
    <t>05-02-2026 00:00:00</t>
  </si>
  <si>
    <t>26458596</t>
  </si>
  <si>
    <t>МУП Каргопольского муниципального округа "Ошевенское"</t>
  </si>
  <si>
    <t>2911004356</t>
  </si>
  <si>
    <t>28-01-2004 00:00:00</t>
  </si>
  <si>
    <t>02-04-2026 00:00:00</t>
  </si>
  <si>
    <t>28269584</t>
  </si>
  <si>
    <t>МУП Каргопольского муниципального округа "Печниково"</t>
  </si>
  <si>
    <t>2911004331</t>
  </si>
  <si>
    <t>22-01-2004 00:00:00</t>
  </si>
  <si>
    <t>06-02-2026 00:00:00</t>
  </si>
  <si>
    <t>26355608</t>
  </si>
  <si>
    <t>МУП Каргопольского муниципального округа "Тихманьга"</t>
  </si>
  <si>
    <t>2911004363</t>
  </si>
  <si>
    <t>26355607</t>
  </si>
  <si>
    <t>МУП Каргопольского муниципального округа "Усачево"</t>
  </si>
  <si>
    <t>2911004349</t>
  </si>
  <si>
    <t>26465253</t>
  </si>
  <si>
    <t>Малошуйская дистанция пути Архангельского отделения Северной железной дороги-филиала ОАО "РЖД"</t>
  </si>
  <si>
    <t>26457054</t>
  </si>
  <si>
    <t>Мезенский филиал АО "Архангельская областная энергетическая компания"</t>
  </si>
  <si>
    <t>291702001</t>
  </si>
  <si>
    <t>30983402</t>
  </si>
  <si>
    <t>Няндомский филиал АО "Архангельская областная энергетическая компания"</t>
  </si>
  <si>
    <t>291843002</t>
  </si>
  <si>
    <t>26773777</t>
  </si>
  <si>
    <t>ОАО "РЖД"</t>
  </si>
  <si>
    <t>990801001</t>
  </si>
  <si>
    <t>26453848</t>
  </si>
  <si>
    <t>ОАО "РЖД" Плесецкая дистанция пути</t>
  </si>
  <si>
    <t>31558512</t>
  </si>
  <si>
    <t>ООО "АГТС"</t>
  </si>
  <si>
    <t>2901308154</t>
  </si>
  <si>
    <t>20-12-2021 00:00:00</t>
  </si>
  <si>
    <t>28815672</t>
  </si>
  <si>
    <t>ООО "АльянсТеплоЭнерго"</t>
  </si>
  <si>
    <t>2901249879</t>
  </si>
  <si>
    <t>21-07-2014 00:00:00</t>
  </si>
  <si>
    <t>31685679</t>
  </si>
  <si>
    <t>ООО "Аметист"</t>
  </si>
  <si>
    <t>2905014500</t>
  </si>
  <si>
    <t>28-12-2022 00:00:00</t>
  </si>
  <si>
    <t>26787170</t>
  </si>
  <si>
    <t>ООО "Архбиоэнерго"</t>
  </si>
  <si>
    <t>2901200792</t>
  </si>
  <si>
    <t>12-03-2010 00:00:00</t>
  </si>
  <si>
    <t>26453718</t>
  </si>
  <si>
    <t>ООО "Березник"</t>
  </si>
  <si>
    <t>2922007775</t>
  </si>
  <si>
    <t>30-05-2008 00:00:00</t>
  </si>
  <si>
    <t>27272094</t>
  </si>
  <si>
    <t>ООО "Березниковское теплоснабжающее предприятие"</t>
  </si>
  <si>
    <t>2910004882</t>
  </si>
  <si>
    <t>291001001</t>
  </si>
  <si>
    <t>19-07-2011 00:00:00</t>
  </si>
  <si>
    <t>30840625</t>
  </si>
  <si>
    <t>ООО "ВГС"</t>
  </si>
  <si>
    <t>2907016905</t>
  </si>
  <si>
    <t>20-02-2016 00:00:00</t>
  </si>
  <si>
    <t>31471178</t>
  </si>
  <si>
    <t>ООО "ВТК"</t>
  </si>
  <si>
    <t>2907018155</t>
  </si>
  <si>
    <t>14-11-2019 00:00:00</t>
  </si>
  <si>
    <t>31778975</t>
  </si>
  <si>
    <t>2909003468</t>
  </si>
  <si>
    <t>290901001</t>
  </si>
  <si>
    <t>23-08-2024 00:00:00</t>
  </si>
  <si>
    <t>31689905</t>
  </si>
  <si>
    <t>ООО "ВТС"</t>
  </si>
  <si>
    <t>2910005484</t>
  </si>
  <si>
    <t>25-05-2023 00:00:00</t>
  </si>
  <si>
    <t>28822203</t>
  </si>
  <si>
    <t>ООО "ВТСК"</t>
  </si>
  <si>
    <t>2907015210</t>
  </si>
  <si>
    <t>30-04-2013 00:00:00</t>
  </si>
  <si>
    <t>31454544</t>
  </si>
  <si>
    <t>ООО "Вектор"</t>
  </si>
  <si>
    <t>2918012331</t>
  </si>
  <si>
    <t>291801001</t>
  </si>
  <si>
    <t>21-07-2020 00:00:00</t>
  </si>
  <si>
    <t>26456362</t>
  </si>
  <si>
    <t>ООО "Вельская энергетическая компания"</t>
  </si>
  <si>
    <t>2907012996</t>
  </si>
  <si>
    <t>10-07-2008 00:00:00</t>
  </si>
  <si>
    <t>10-06-2025 00:00:00</t>
  </si>
  <si>
    <t>28821139</t>
  </si>
  <si>
    <t>ООО "Виноградовский жилкомсервис"</t>
  </si>
  <si>
    <t>2910001779</t>
  </si>
  <si>
    <t>20-06-2005 00:00:00</t>
  </si>
  <si>
    <t>31216037</t>
  </si>
  <si>
    <t>ООО "ГАЗ-ИНВЕСТ"</t>
  </si>
  <si>
    <t>2904029110</t>
  </si>
  <si>
    <t>07-07-2017 00:00:00</t>
  </si>
  <si>
    <t>31635039</t>
  </si>
  <si>
    <t>ООО "ГЕФЕСТ"</t>
  </si>
  <si>
    <t>2907018878</t>
  </si>
  <si>
    <t>31294704</t>
  </si>
  <si>
    <t>ООО "ГК "УЛК"</t>
  </si>
  <si>
    <t>2922008546</t>
  </si>
  <si>
    <t>20-09-2011 00:00:00</t>
  </si>
  <si>
    <t>26793006</t>
  </si>
  <si>
    <t>ООО "Газпром теплоэнерго Архангельск"</t>
  </si>
  <si>
    <t>2901252021</t>
  </si>
  <si>
    <t>17-04-2007 00:00:00</t>
  </si>
  <si>
    <t>26783606</t>
  </si>
  <si>
    <t>ООО "Газпром трансгаз Ухта" Приводинское ЛПУМГ</t>
  </si>
  <si>
    <t>1102024468</t>
  </si>
  <si>
    <t>291302001</t>
  </si>
  <si>
    <t>27-08-2002 00:00:00</t>
  </si>
  <si>
    <t>26491322</t>
  </si>
  <si>
    <t>ООО "Газпром трансгаз Ухта" Урдомское ЛПУМГ</t>
  </si>
  <si>
    <t>291502001</t>
  </si>
  <si>
    <t>31222124</t>
  </si>
  <si>
    <t>ООО "Градиант"</t>
  </si>
  <si>
    <t>2901284746</t>
  </si>
  <si>
    <t>11-04-2017 00:00:00</t>
  </si>
  <si>
    <t>26459035</t>
  </si>
  <si>
    <t>ООО "Двина"</t>
  </si>
  <si>
    <t>2921010990</t>
  </si>
  <si>
    <t>14-05-2008 00:00:00</t>
  </si>
  <si>
    <t>26770536</t>
  </si>
  <si>
    <t>ООО "ЕмецкСтройСервис"</t>
  </si>
  <si>
    <t>2923006012</t>
  </si>
  <si>
    <t>23-07-2009 00:00:00</t>
  </si>
  <si>
    <t>26788683</t>
  </si>
  <si>
    <t>ООО "Емецкое теплоснабжающее предприятие"</t>
  </si>
  <si>
    <t>2923006245</t>
  </si>
  <si>
    <t>23-07-2010 00:00:00</t>
  </si>
  <si>
    <t>26355672</t>
  </si>
  <si>
    <t>ООО "ЖКХ Малодоры"</t>
  </si>
  <si>
    <t>2922007704</t>
  </si>
  <si>
    <t>10-04-2008 00:00:00</t>
  </si>
  <si>
    <t>26456802</t>
  </si>
  <si>
    <t>ООО "Жилищно-коммунальное хозяйство Регион"</t>
  </si>
  <si>
    <t>2909003010</t>
  </si>
  <si>
    <t>07-05-2009 00:00:00</t>
  </si>
  <si>
    <t>28078875</t>
  </si>
  <si>
    <t>ООО "ЗеленникЛес"</t>
  </si>
  <si>
    <t>2908004765</t>
  </si>
  <si>
    <t>23-05-2012 00:00:00</t>
  </si>
  <si>
    <t>26355594</t>
  </si>
  <si>
    <t>ООО "Ильинск ЖКХ"</t>
  </si>
  <si>
    <t>2909002320</t>
  </si>
  <si>
    <t>13-10-2004 00:00:00</t>
  </si>
  <si>
    <t>30859242</t>
  </si>
  <si>
    <t>ООО "ККП"</t>
  </si>
  <si>
    <t>2901254269</t>
  </si>
  <si>
    <t>12-01-2015 00:00:00</t>
  </si>
  <si>
    <t>28856024</t>
  </si>
  <si>
    <t>ООО "КМ ТЭР"</t>
  </si>
  <si>
    <t>2923007175</t>
  </si>
  <si>
    <t>17-10-2014 00:00:00</t>
  </si>
  <si>
    <t>30850137</t>
  </si>
  <si>
    <t>ООО "КРИСТАЛЛ"</t>
  </si>
  <si>
    <t>2912006733</t>
  </si>
  <si>
    <t>12-08-2016 00:00:00</t>
  </si>
  <si>
    <t>31001040</t>
  </si>
  <si>
    <t>ООО "КТС"</t>
  </si>
  <si>
    <t>2914003625</t>
  </si>
  <si>
    <t>07-06-2016 00:00:00</t>
  </si>
  <si>
    <t>26355612</t>
  </si>
  <si>
    <t>ООО "Каргопольские тепловые сети"</t>
  </si>
  <si>
    <t>2911005649</t>
  </si>
  <si>
    <t>17-10-2007 00:00:00</t>
  </si>
  <si>
    <t>30988152</t>
  </si>
  <si>
    <t>ООО "Каскад"</t>
  </si>
  <si>
    <t>2901286856</t>
  </si>
  <si>
    <t>10-07-2017 00:00:00</t>
  </si>
  <si>
    <t>26767363</t>
  </si>
  <si>
    <t>ООО "Коммунальные системы Поморья"</t>
  </si>
  <si>
    <t>2901202398</t>
  </si>
  <si>
    <t>11-08-2010 00:00:00</t>
  </si>
  <si>
    <t>31910157</t>
  </si>
  <si>
    <t>ООО "Коммунальные системы"</t>
  </si>
  <si>
    <t>2918012613</t>
  </si>
  <si>
    <t>05-08-2022 00:00:00</t>
  </si>
  <si>
    <t>28264009</t>
  </si>
  <si>
    <t>ООО "Кондратовское"</t>
  </si>
  <si>
    <t>2908003698</t>
  </si>
  <si>
    <t>25-07-2003 00:00:00</t>
  </si>
  <si>
    <t>28536031</t>
  </si>
  <si>
    <t>ООО "Коношский хлебозавод"</t>
  </si>
  <si>
    <t>2912006268</t>
  </si>
  <si>
    <t>25-12-2012 00:00:00</t>
  </si>
  <si>
    <t>26834886</t>
  </si>
  <si>
    <t>ООО "Кристалл Севера"</t>
  </si>
  <si>
    <t>2923006319</t>
  </si>
  <si>
    <t>16-11-2010 00:00:00</t>
  </si>
  <si>
    <t>31342364</t>
  </si>
  <si>
    <t>ООО "ЛТК"</t>
  </si>
  <si>
    <t>2901294110</t>
  </si>
  <si>
    <t>291601001</t>
  </si>
  <si>
    <t>28821507</t>
  </si>
  <si>
    <t>ООО "Лето"</t>
  </si>
  <si>
    <t>2909003179</t>
  </si>
  <si>
    <t>01-08-2014 00:00:00</t>
  </si>
  <si>
    <t>27507363</t>
  </si>
  <si>
    <t>ООО "МПМК"</t>
  </si>
  <si>
    <t>2908004701</t>
  </si>
  <si>
    <t>11-08-2011 00:00:00</t>
  </si>
  <si>
    <t>31596939</t>
  </si>
  <si>
    <t>ООО "Мошинские тепловые сети"</t>
  </si>
  <si>
    <t>2918012540</t>
  </si>
  <si>
    <t>31603791</t>
  </si>
  <si>
    <t>ООО "НВК"</t>
  </si>
  <si>
    <t>7705845722</t>
  </si>
  <si>
    <t>770501001</t>
  </si>
  <si>
    <t>06-06-2008 00:00:00</t>
  </si>
  <si>
    <t>31454034</t>
  </si>
  <si>
    <t>ООО "НЕЙТРАЛЬ"</t>
  </si>
  <si>
    <t>2923007640</t>
  </si>
  <si>
    <t>06-11-2020 00:00:00</t>
  </si>
  <si>
    <t>31238953</t>
  </si>
  <si>
    <t>ООО "Объединение котельных и тепловых сетей"</t>
  </si>
  <si>
    <t>2904030161</t>
  </si>
  <si>
    <t>09-11-2018 00:00:00</t>
  </si>
  <si>
    <t>31388683</t>
  </si>
  <si>
    <t>ООО "ПАО ТСК-2"</t>
  </si>
  <si>
    <t>2901299157</t>
  </si>
  <si>
    <t>31-10-2019 00:00:00</t>
  </si>
  <si>
    <t>26355556</t>
  </si>
  <si>
    <t>ООО "ПКТС"</t>
  </si>
  <si>
    <t>2906006238</t>
  </si>
  <si>
    <t>04-07-2005 00:00:00</t>
  </si>
  <si>
    <t>28466681</t>
  </si>
  <si>
    <t>ООО "ПОМОР"</t>
  </si>
  <si>
    <t>2921126730</t>
  </si>
  <si>
    <t>13-08-2013 00:00:00</t>
  </si>
  <si>
    <t>26444355</t>
  </si>
  <si>
    <t>ООО "Павловск ЖКХ"</t>
  </si>
  <si>
    <t>2909002440</t>
  </si>
  <si>
    <t>21-12-2005 00:00:00</t>
  </si>
  <si>
    <t>28821128</t>
  </si>
  <si>
    <t>ООО "Пинега"</t>
  </si>
  <si>
    <t>2923007104</t>
  </si>
  <si>
    <t>08-07-2014 00:00:00</t>
  </si>
  <si>
    <t>31221919</t>
  </si>
  <si>
    <t>ООО "Помор"</t>
  </si>
  <si>
    <t>2901289568</t>
  </si>
  <si>
    <t>13-12-2017 00:00:00</t>
  </si>
  <si>
    <t>31515778</t>
  </si>
  <si>
    <t>ООО "Р-Сервис"</t>
  </si>
  <si>
    <t>2910005276</t>
  </si>
  <si>
    <t>09-09-2021 00:00:00</t>
  </si>
  <si>
    <t>26355656</t>
  </si>
  <si>
    <t>ООО "РН-Морской терминал Архангельск"</t>
  </si>
  <si>
    <t>2921009226</t>
  </si>
  <si>
    <t>09-11-2005 00:00:00</t>
  </si>
  <si>
    <t>31348781</t>
  </si>
  <si>
    <t>ООО "РЭП 1"</t>
  </si>
  <si>
    <t>2901265373</t>
  </si>
  <si>
    <t>19-02-2016 00:00:00</t>
  </si>
  <si>
    <t>28505043</t>
  </si>
  <si>
    <t>ООО "Реал-Сервис"</t>
  </si>
  <si>
    <t>2901127775</t>
  </si>
  <si>
    <t>06-05-2014 00:00:00</t>
  </si>
  <si>
    <t>31639894</t>
  </si>
  <si>
    <t>ООО "Регион-Энерго"</t>
  </si>
  <si>
    <t>2901250754</t>
  </si>
  <si>
    <t>27-08-2014 00:00:00</t>
  </si>
  <si>
    <t>31889714</t>
  </si>
  <si>
    <t>ООО "Регион-лес"</t>
  </si>
  <si>
    <t>7728324645</t>
  </si>
  <si>
    <t>09-12-2015 00:00:00</t>
  </si>
  <si>
    <t>31448543</t>
  </si>
  <si>
    <t>ООО "СРК"</t>
  </si>
  <si>
    <t>2901150333</t>
  </si>
  <si>
    <t>08-08-2020 00:00:00</t>
  </si>
  <si>
    <t>26794594</t>
  </si>
  <si>
    <t>ООО "СТВ"</t>
  </si>
  <si>
    <t>2904008254</t>
  </si>
  <si>
    <t>29-07-2002 00:00:00</t>
  </si>
  <si>
    <t>28041390</t>
  </si>
  <si>
    <t>ООО "СТК"</t>
  </si>
  <si>
    <t>2920014777</t>
  </si>
  <si>
    <t>10-10-2012 00:00:00</t>
  </si>
  <si>
    <t>28221601</t>
  </si>
  <si>
    <t>ООО "Северная Двина"</t>
  </si>
  <si>
    <t>2923006943</t>
  </si>
  <si>
    <t>26-03-2013 00:00:00</t>
  </si>
  <si>
    <t>31204971</t>
  </si>
  <si>
    <t>ООО "Северная Энергетическая Компания - Беломорье"</t>
  </si>
  <si>
    <t>2923007418</t>
  </si>
  <si>
    <t>30359077</t>
  </si>
  <si>
    <t>ООО "Северная Энергетическая Компания"</t>
  </si>
  <si>
    <t>2901192407</t>
  </si>
  <si>
    <t>10-10-2011 00:00:00</t>
  </si>
  <si>
    <t>31443972</t>
  </si>
  <si>
    <t>ООО "Северный Дом"</t>
  </si>
  <si>
    <t>2923007633</t>
  </si>
  <si>
    <t>28455898</t>
  </si>
  <si>
    <t>ООО "Северо-западная консалтинговая компания"</t>
  </si>
  <si>
    <t>2920013847</t>
  </si>
  <si>
    <t>25-11-2010 00:00:00</t>
  </si>
  <si>
    <t>26355644</t>
  </si>
  <si>
    <t>ООО "Сийское"</t>
  </si>
  <si>
    <t>2919006299</t>
  </si>
  <si>
    <t>23-01-2007 00:00:00</t>
  </si>
  <si>
    <t>31232082</t>
  </si>
  <si>
    <t>ООО "Содействие"</t>
  </si>
  <si>
    <t>2906008443</t>
  </si>
  <si>
    <t>06-02-2016 00:00:00</t>
  </si>
  <si>
    <t>31204923</t>
  </si>
  <si>
    <t>ООО "Спец-ТОН-Архангельск"</t>
  </si>
  <si>
    <t>2901207290</t>
  </si>
  <si>
    <t>12-10-2010 00:00:00</t>
  </si>
  <si>
    <t>26788503</t>
  </si>
  <si>
    <t>ООО "СпецТранс"</t>
  </si>
  <si>
    <t>2901198487</t>
  </si>
  <si>
    <t>24-12-2009 00:00:00</t>
  </si>
  <si>
    <t>26355637</t>
  </si>
  <si>
    <t>ООО "Стройсервис"</t>
  </si>
  <si>
    <t>2918009770</t>
  </si>
  <si>
    <t>02-02-2011 00:00:00</t>
  </si>
  <si>
    <t>28796502</t>
  </si>
  <si>
    <t>ООО "Т-Сервис"</t>
  </si>
  <si>
    <t>2910005075</t>
  </si>
  <si>
    <t>24-07-2014 00:00:00</t>
  </si>
  <si>
    <t>30371991</t>
  </si>
  <si>
    <t>ООО "ТСП Холмогоры"</t>
  </si>
  <si>
    <t>2923007344</t>
  </si>
  <si>
    <t>16-10-2015 00:00:00</t>
  </si>
  <si>
    <t>31356102</t>
  </si>
  <si>
    <t>ООО "ТСП"</t>
  </si>
  <si>
    <t>2920016862</t>
  </si>
  <si>
    <t>22-11-2019 00:00:00</t>
  </si>
  <si>
    <t>28505689</t>
  </si>
  <si>
    <t>ООО "ТЭПАК"</t>
  </si>
  <si>
    <t>2901245747</t>
  </si>
  <si>
    <t>07-05-2014 00:00:00</t>
  </si>
  <si>
    <t>31710699</t>
  </si>
  <si>
    <t>ООО "ТЭПМО"</t>
  </si>
  <si>
    <t>2901301215</t>
  </si>
  <si>
    <t>30884660</t>
  </si>
  <si>
    <t>ООО "Тельмица"</t>
  </si>
  <si>
    <t>2901221143</t>
  </si>
  <si>
    <t>30-11-2011 00:00:00</t>
  </si>
  <si>
    <t>13-05-2025 00:00:00</t>
  </si>
  <si>
    <t>31540793</t>
  </si>
  <si>
    <t>ООО "Тепло"</t>
  </si>
  <si>
    <t>2907018652</t>
  </si>
  <si>
    <t>28272628</t>
  </si>
  <si>
    <t>ООО "ТеплоСнаб"</t>
  </si>
  <si>
    <t>2922008803</t>
  </si>
  <si>
    <t>25-04-2013 00:00:00</t>
  </si>
  <si>
    <t>30372616</t>
  </si>
  <si>
    <t>ООО "Теплоресурс"</t>
  </si>
  <si>
    <t>2907016373</t>
  </si>
  <si>
    <t>02-03-2015 00:00:00</t>
  </si>
  <si>
    <t>28511473</t>
  </si>
  <si>
    <t>ООО "Теплосервис"</t>
  </si>
  <si>
    <t>2907015570</t>
  </si>
  <si>
    <t>20-11-2013 00:00:00</t>
  </si>
  <si>
    <t>26788746</t>
  </si>
  <si>
    <t>ООО "Теплоснаб"</t>
  </si>
  <si>
    <t>2921011754</t>
  </si>
  <si>
    <t>06-05-2010 00:00:00</t>
  </si>
  <si>
    <t>28469374</t>
  </si>
  <si>
    <t>ООО "Теплострой"</t>
  </si>
  <si>
    <t>2907015524</t>
  </si>
  <si>
    <t>24-10-2013 00:00:00</t>
  </si>
  <si>
    <t>12-03-2025 00:00:00</t>
  </si>
  <si>
    <t>31518911</t>
  </si>
  <si>
    <t>ООО "Теплохолдинг Коноша"</t>
  </si>
  <si>
    <t>2912007007</t>
  </si>
  <si>
    <t>30414608</t>
  </si>
  <si>
    <t>ООО "Теплоэнерго"</t>
  </si>
  <si>
    <t>2912006620</t>
  </si>
  <si>
    <t>10-08-2015 00:00:00</t>
  </si>
  <si>
    <t>31767641</t>
  </si>
  <si>
    <t>ООО "Теплый дом"</t>
  </si>
  <si>
    <t>2901255431</t>
  </si>
  <si>
    <t>19-02-2015 00:00:00</t>
  </si>
  <si>
    <t>31211911</t>
  </si>
  <si>
    <t>ООО "Трест Сервис"</t>
  </si>
  <si>
    <t>2904022428</t>
  </si>
  <si>
    <t>27570621</t>
  </si>
  <si>
    <t>ООО "УК "Весна"</t>
  </si>
  <si>
    <t>2924005220</t>
  </si>
  <si>
    <t>292401001</t>
  </si>
  <si>
    <t>09-09-2010 00:00:00</t>
  </si>
  <si>
    <t>31388716</t>
  </si>
  <si>
    <t>ООО "УК "ЖКС+"</t>
  </si>
  <si>
    <t>2912006740</t>
  </si>
  <si>
    <t>01-09-2016 00:00:00</t>
  </si>
  <si>
    <t>28155285</t>
  </si>
  <si>
    <t>ООО "УК "Мегаполис"</t>
  </si>
  <si>
    <t>2901197885</t>
  </si>
  <si>
    <t>07-12-2009 00:00:00</t>
  </si>
  <si>
    <t>27272125</t>
  </si>
  <si>
    <t>ООО "УК "Сервис"</t>
  </si>
  <si>
    <t>2910004868</t>
  </si>
  <si>
    <t>07-04-2011 00:00:00</t>
  </si>
  <si>
    <t>26453329</t>
  </si>
  <si>
    <t>ООО "УК "Уютный город"</t>
  </si>
  <si>
    <t>2924005075</t>
  </si>
  <si>
    <t>06-02-2009 00:00:00</t>
  </si>
  <si>
    <t>31889728</t>
  </si>
  <si>
    <t>ООО "УТК"</t>
  </si>
  <si>
    <t>2922010263</t>
  </si>
  <si>
    <t>12-05-2025 00:00:00</t>
  </si>
  <si>
    <t>30371133</t>
  </si>
  <si>
    <t>ООО "Удар"</t>
  </si>
  <si>
    <t>2908004966</t>
  </si>
  <si>
    <t>21-08-2015 00:00:00</t>
  </si>
  <si>
    <t>28799179</t>
  </si>
  <si>
    <t>ООО "Управляющая жилищная компания"</t>
  </si>
  <si>
    <t>2921010743</t>
  </si>
  <si>
    <t>26-12-2007 00:00:00</t>
  </si>
  <si>
    <t>26453816</t>
  </si>
  <si>
    <t>ООО "Уют-2"</t>
  </si>
  <si>
    <t>2920011448</t>
  </si>
  <si>
    <t>10-01-2007 00:00:00</t>
  </si>
  <si>
    <t>31206276</t>
  </si>
  <si>
    <t>ООО "Уют-Энерго"</t>
  </si>
  <si>
    <t>2920016693</t>
  </si>
  <si>
    <t>06-09-2018 00:00:00</t>
  </si>
  <si>
    <t>28447236</t>
  </si>
  <si>
    <t>ООО "Уютный город"</t>
  </si>
  <si>
    <t>2924005452</t>
  </si>
  <si>
    <t>23-05-2013 00:00:00</t>
  </si>
  <si>
    <t>28272974</t>
  </si>
  <si>
    <t>ООО "Фарватер"</t>
  </si>
  <si>
    <t>2901230116</t>
  </si>
  <si>
    <t>13-09-2012 00:00:00</t>
  </si>
  <si>
    <t>31075247</t>
  </si>
  <si>
    <t>ООО "ФинансГрупп"</t>
  </si>
  <si>
    <t>3525369837</t>
  </si>
  <si>
    <t>322501001</t>
  </si>
  <si>
    <t>25-02-2016 00:00:00</t>
  </si>
  <si>
    <t>27584055</t>
  </si>
  <si>
    <t>ООО "Холмогорское ТСП"</t>
  </si>
  <si>
    <t>2923006541</t>
  </si>
  <si>
    <t>31799039</t>
  </si>
  <si>
    <t>ООО "ШЛИТ"</t>
  </si>
  <si>
    <t>2918012927</t>
  </si>
  <si>
    <t>17-12-2024 00:00:00</t>
  </si>
  <si>
    <t>30794652</t>
  </si>
  <si>
    <t>ООО "Шангальский ЖКС"</t>
  </si>
  <si>
    <t>2922009317</t>
  </si>
  <si>
    <t>30-09-2015 00:00:00</t>
  </si>
  <si>
    <t>31448842</t>
  </si>
  <si>
    <t>ООО "Энергия Севера"</t>
  </si>
  <si>
    <t>2918011948</t>
  </si>
  <si>
    <t>27-06-2018 00:00:00</t>
  </si>
  <si>
    <t>31767378</t>
  </si>
  <si>
    <t>ООО "Энергия"</t>
  </si>
  <si>
    <t>2910005526</t>
  </si>
  <si>
    <t>06-05-2024 00:00:00</t>
  </si>
  <si>
    <t>31909864</t>
  </si>
  <si>
    <t>ООО "Энерго-Комфорт"</t>
  </si>
  <si>
    <t>2911007685</t>
  </si>
  <si>
    <t>29-08-2025 00:00:00</t>
  </si>
  <si>
    <t>31365406</t>
  </si>
  <si>
    <t>ООО "Энерго-Спец"</t>
  </si>
  <si>
    <t>2901297174</t>
  </si>
  <si>
    <t>19-12-2019 00:00:00</t>
  </si>
  <si>
    <t>26456952</t>
  </si>
  <si>
    <t>ООО "Энергосфера"</t>
  </si>
  <si>
    <t>2915004011</t>
  </si>
  <si>
    <t>18-06-2009 00:00:00</t>
  </si>
  <si>
    <t>30840619</t>
  </si>
  <si>
    <t>ООО «АГТС»</t>
  </si>
  <si>
    <t>2901265172</t>
  </si>
  <si>
    <t>12-02-2016 00:00:00</t>
  </si>
  <si>
    <t>31205725</t>
  </si>
  <si>
    <t>ООО «ВТК»</t>
  </si>
  <si>
    <t>2907017610</t>
  </si>
  <si>
    <t>27-11-2017 00:00:00</t>
  </si>
  <si>
    <t>31347944</t>
  </si>
  <si>
    <t>ООО «Мезенская теплоснабжающая компания»</t>
  </si>
  <si>
    <t>2901294127</t>
  </si>
  <si>
    <t>291701001</t>
  </si>
  <si>
    <t>14-10-2019 00:00:00</t>
  </si>
  <si>
    <t>26796916</t>
  </si>
  <si>
    <t>ООО «Поморские электросети»</t>
  </si>
  <si>
    <t>2901207808</t>
  </si>
  <si>
    <t>28872341</t>
  </si>
  <si>
    <t>ООО «Строй-базис»</t>
  </si>
  <si>
    <t>2905008923</t>
  </si>
  <si>
    <t>30856720</t>
  </si>
  <si>
    <t>ООО «Теплодом»</t>
  </si>
  <si>
    <t>2907017176</t>
  </si>
  <si>
    <t>29-08-2016 00:00:00</t>
  </si>
  <si>
    <t>30842932</t>
  </si>
  <si>
    <t>ООО «Теплоэнергосервис»</t>
  </si>
  <si>
    <t>2904028518</t>
  </si>
  <si>
    <t>10-08-2016 00:00:00</t>
  </si>
  <si>
    <t>30840631</t>
  </si>
  <si>
    <t>ООО «Штиль»</t>
  </si>
  <si>
    <t>2923007217</t>
  </si>
  <si>
    <t>04-02-2015 00:00:00</t>
  </si>
  <si>
    <t>28544569</t>
  </si>
  <si>
    <t>ООО ПК "Энергия Севера"</t>
  </si>
  <si>
    <t>2901248674</t>
  </si>
  <si>
    <t>04-06-2014 00:00:00</t>
  </si>
  <si>
    <t>31410819</t>
  </si>
  <si>
    <t>ООО ПКП "Титан"</t>
  </si>
  <si>
    <t>2901008961</t>
  </si>
  <si>
    <t>19-10-2002 00:00:00</t>
  </si>
  <si>
    <t>27584252</t>
  </si>
  <si>
    <t>ООО РЭП "СФЕРА"</t>
  </si>
  <si>
    <t>2921012050</t>
  </si>
  <si>
    <t>28-02-2011 00:00:00</t>
  </si>
  <si>
    <t>31529738</t>
  </si>
  <si>
    <t>ООО ТехЭнерго"</t>
  </si>
  <si>
    <t>2901300042</t>
  </si>
  <si>
    <t>20-01-2000 00:00:00</t>
  </si>
  <si>
    <t>30844954</t>
  </si>
  <si>
    <t>ООО УК "Жилуправление"</t>
  </si>
  <si>
    <t>2922009194</t>
  </si>
  <si>
    <t>23-01-2015 00:00:00</t>
  </si>
  <si>
    <t>10-03-2026 00:00:00</t>
  </si>
  <si>
    <t>30430689</t>
  </si>
  <si>
    <t>ОП "Архангельское" АО "ГУ ЖКХ"</t>
  </si>
  <si>
    <t>290245001</t>
  </si>
  <si>
    <t>13-05-2009 00:00:00</t>
  </si>
  <si>
    <t>26355512</t>
  </si>
  <si>
    <t>ПАО "Северное речное пароходство"</t>
  </si>
  <si>
    <t>2901015750</t>
  </si>
  <si>
    <t>15-12-2002 00:00:00</t>
  </si>
  <si>
    <t>26484792</t>
  </si>
  <si>
    <t>290131002</t>
  </si>
  <si>
    <t>19-04-2005 00:00:00</t>
  </si>
  <si>
    <t>26318555</t>
  </si>
  <si>
    <t>ПАО «Россети Северо-Запад»</t>
  </si>
  <si>
    <t>7802312751</t>
  </si>
  <si>
    <t>470501001</t>
  </si>
  <si>
    <t>23-12-2004 00:00:00</t>
  </si>
  <si>
    <t>26354766</t>
  </si>
  <si>
    <t>Пинежское МП ЖКХ</t>
  </si>
  <si>
    <t>2919000794</t>
  </si>
  <si>
    <t>30-11-2002 00:00:00</t>
  </si>
  <si>
    <t>28489874</t>
  </si>
  <si>
    <t>Потребительское общество "Вельская межрайбаза"</t>
  </si>
  <si>
    <t>2907015620</t>
  </si>
  <si>
    <t>04-12-2013 00:00:00</t>
  </si>
  <si>
    <t>26459131</t>
  </si>
  <si>
    <t>Приморский филиал АО "Архангельская областная энергетическая компания"</t>
  </si>
  <si>
    <t>290102001</t>
  </si>
  <si>
    <t>31438271</t>
  </si>
  <si>
    <t>РТРС</t>
  </si>
  <si>
    <t>7717127211</t>
  </si>
  <si>
    <t>20-08-2020 00:00:00</t>
  </si>
  <si>
    <t>26355529</t>
  </si>
  <si>
    <t>СМУП "Белое озеро"</t>
  </si>
  <si>
    <t>2902046374</t>
  </si>
  <si>
    <t>27-11-2003 00:00:00</t>
  </si>
  <si>
    <t>26792767</t>
  </si>
  <si>
    <t>СМУП ЖКХ "ГОРВИК"</t>
  </si>
  <si>
    <t>2902007022</t>
  </si>
  <si>
    <t>30840637</t>
  </si>
  <si>
    <t>СПК "РК "Беломор"</t>
  </si>
  <si>
    <t>2921001636</t>
  </si>
  <si>
    <t>27870366</t>
  </si>
  <si>
    <t>СПК "РК "Север"</t>
  </si>
  <si>
    <t>2917000164</t>
  </si>
  <si>
    <t>28-10-2002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</si>
  <si>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</si>
  <si>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</si>
  <si>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</si>
  <si>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</si>
  <si>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</si>
  <si>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</si>
  <si>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</si>
  <si>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</si>
  <si>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26491327</t>
  </si>
  <si>
    <t>Северный филиал ООО "Газпром энерго"</t>
  </si>
  <si>
    <t>20-12-2002 00:00:00</t>
  </si>
  <si>
    <t>26355636</t>
  </si>
  <si>
    <t>Сельскохозяйственная артель (колхоз) "Ступинское"</t>
  </si>
  <si>
    <t>2918000985</t>
  </si>
  <si>
    <t>27-12-2002 00:00:00</t>
  </si>
  <si>
    <t>26459167</t>
  </si>
  <si>
    <t>Соловецкий филиал АО "Архангельская областная энергетическая компания"</t>
  </si>
  <si>
    <t>291102001</t>
  </si>
  <si>
    <t>26355537</t>
  </si>
  <si>
    <t>ФБУ "Администрация "Севводпуть"</t>
  </si>
  <si>
    <t>2904006994</t>
  </si>
  <si>
    <t>07-01-2003 00:00:00</t>
  </si>
  <si>
    <t>30949446</t>
  </si>
  <si>
    <t>ФГБУ "ЦЖКУ" Минобороны России (Филиал по ВМФ)</t>
  </si>
  <si>
    <t>7729314745</t>
  </si>
  <si>
    <t>290245006</t>
  </si>
  <si>
    <t>20-03-2017 00:00:00</t>
  </si>
  <si>
    <t>26454294</t>
  </si>
  <si>
    <t>ФГКУ "Складской терминал № 32"</t>
  </si>
  <si>
    <t>2912000690</t>
  </si>
  <si>
    <t>27-11-2002 00:00:00</t>
  </si>
  <si>
    <t>28422072</t>
  </si>
  <si>
    <t>ФГУП "РТРС"</t>
  </si>
  <si>
    <t>771701001</t>
  </si>
  <si>
    <t>26319614</t>
  </si>
  <si>
    <t>ФКУ ИК-1 УФСИН России по Архангельской области</t>
  </si>
  <si>
    <t>2901086624</t>
  </si>
  <si>
    <t>24-12-2002 00:00:00</t>
  </si>
  <si>
    <t>26355568</t>
  </si>
  <si>
    <t>ФКУ ИК-14 УФСИН России по Архангельской области</t>
  </si>
  <si>
    <t>2907001458</t>
  </si>
  <si>
    <t>26355554</t>
  </si>
  <si>
    <t>ФКУ ИК-16 УФСИН России по Архангельской области</t>
  </si>
  <si>
    <t>2906005160</t>
  </si>
  <si>
    <t>22-12-1999 00:00:00</t>
  </si>
  <si>
    <t>26471424</t>
  </si>
  <si>
    <t>ФКУ ИК-19 ОУХД УФСИН России по Архангельской области</t>
  </si>
  <si>
    <t>2919005087</t>
  </si>
  <si>
    <t>26771820</t>
  </si>
  <si>
    <t>ФКУ ИК-21 ОУХД УФСИН России по Архангельской области</t>
  </si>
  <si>
    <t>2920008068</t>
  </si>
  <si>
    <t>14-11-2002 00:00:00</t>
  </si>
  <si>
    <t>27502010</t>
  </si>
  <si>
    <t>ФКУ ИК-28 ОУХД УФСИН России по Архангельской области</t>
  </si>
  <si>
    <t>2912003370</t>
  </si>
  <si>
    <t>30-09-2002 00:00:00</t>
  </si>
  <si>
    <t>30-04-2025 00:00:00</t>
  </si>
  <si>
    <t>26355647</t>
  </si>
  <si>
    <t>ФКУ ИК-29 УФСИН России по Архангельской области</t>
  </si>
  <si>
    <t>2920003609</t>
  </si>
  <si>
    <t>10-09-2002 00:00:00</t>
  </si>
  <si>
    <t>28427583</t>
  </si>
  <si>
    <t>ФКУ ИК-4 УФСИН России по Архангельской области</t>
  </si>
  <si>
    <t>2904009748</t>
  </si>
  <si>
    <t>22-11-2013 00:00:00</t>
  </si>
  <si>
    <t>27583098</t>
  </si>
  <si>
    <t>ФКУ ИК-5 УФСИН России по Архангельской области</t>
  </si>
  <si>
    <t>2905006154</t>
  </si>
  <si>
    <t>23-10-2002 00:00:00</t>
  </si>
  <si>
    <t>30478000</t>
  </si>
  <si>
    <t>ФКУ ИК-7 УФСИН России по Архангельской области</t>
  </si>
  <si>
    <t>2901084151</t>
  </si>
  <si>
    <t>26355510</t>
  </si>
  <si>
    <t>открытое акционерное общество "Соломбальский лесопильно-деревообрабатывающий комбинат"</t>
  </si>
  <si>
    <t>2901010706</t>
  </si>
  <si>
    <t>29-11-2002 00:00:00</t>
  </si>
  <si>
    <t>31352320</t>
  </si>
  <si>
    <t>ООО "Бинтех"</t>
  </si>
  <si>
    <t>2901120723</t>
  </si>
  <si>
    <t>29-12-2003 00:00:00</t>
  </si>
  <si>
    <t>30892458</t>
  </si>
  <si>
    <t>ООО "Гидротехнологии"</t>
  </si>
  <si>
    <t>2901165080</t>
  </si>
  <si>
    <t>02-07-2007 00:00:00</t>
  </si>
  <si>
    <t>30949442</t>
  </si>
  <si>
    <t>ООО "УК "ВС"</t>
  </si>
  <si>
    <t>2901224715</t>
  </si>
  <si>
    <t>28-03-2012 00:00:00</t>
  </si>
  <si>
    <t>31658858</t>
  </si>
  <si>
    <t>ООО "Энерго-маркет"</t>
  </si>
  <si>
    <t>2901195888</t>
  </si>
  <si>
    <t>17-01-2023 00:00:00</t>
  </si>
  <si>
    <t>31304553</t>
  </si>
  <si>
    <t>АО "Холмогорский племзавод"</t>
  </si>
  <si>
    <t>2923007591</t>
  </si>
  <si>
    <t>13-03-2019 00:00:00</t>
  </si>
  <si>
    <t>27889231</t>
  </si>
  <si>
    <t>ЛПУ "Санаторий "Солониха"</t>
  </si>
  <si>
    <t>2914000511</t>
  </si>
  <si>
    <t>26355535</t>
  </si>
  <si>
    <t>МП "Горводоканал"</t>
  </si>
  <si>
    <t>2904002069</t>
  </si>
  <si>
    <t>28859658</t>
  </si>
  <si>
    <t>МУП "Водоочистка" городского округа "Город Архангельск"</t>
  </si>
  <si>
    <t>2901243725</t>
  </si>
  <si>
    <t>23-12-2013 00:00:00</t>
  </si>
  <si>
    <t>27327833</t>
  </si>
  <si>
    <t>МУП "Нименьгское коммунальное хозяйство"</t>
  </si>
  <si>
    <t>2906007552</t>
  </si>
  <si>
    <t>31-08-2010 00:00:00</t>
  </si>
  <si>
    <t>30917056</t>
  </si>
  <si>
    <t>МУП "Покровская РК"</t>
  </si>
  <si>
    <t>2906008154</t>
  </si>
  <si>
    <t>21-03-2014 00:00:00</t>
  </si>
  <si>
    <t>29648937</t>
  </si>
  <si>
    <t>МУП "Холмогорская водоочистка"</t>
  </si>
  <si>
    <t>2923007312</t>
  </si>
  <si>
    <t>31-07-2015 00:00:00</t>
  </si>
  <si>
    <t>31752878</t>
  </si>
  <si>
    <t>МУП "ЧИСТАЯ ВОДА"</t>
  </si>
  <si>
    <t>2912007180</t>
  </si>
  <si>
    <t>11-05-2023 00:00:00</t>
  </si>
  <si>
    <t>31189550</t>
  </si>
  <si>
    <t>МУП "Чистая вода"</t>
  </si>
  <si>
    <t>2924005702</t>
  </si>
  <si>
    <t>17-04-2018 00:00:00</t>
  </si>
  <si>
    <t>31798945</t>
  </si>
  <si>
    <t>ООО "АКВА-СЕВЕР"</t>
  </si>
  <si>
    <t>2919008225</t>
  </si>
  <si>
    <t>19-07-2024 00:00:00</t>
  </si>
  <si>
    <t>26319604</t>
  </si>
  <si>
    <t>ООО "АКВАМИР"</t>
  </si>
  <si>
    <t>2903003687</t>
  </si>
  <si>
    <t>31459741</t>
  </si>
  <si>
    <t>ООО "АОВ"</t>
  </si>
  <si>
    <t>2901284489</t>
  </si>
  <si>
    <t>03-04-2017 00:00:00</t>
  </si>
  <si>
    <t>30380378</t>
  </si>
  <si>
    <t>ООО "Аквапрофиль"</t>
  </si>
  <si>
    <t>2904027521</t>
  </si>
  <si>
    <t>14-07-2015 00:00:00</t>
  </si>
  <si>
    <t>31196048</t>
  </si>
  <si>
    <t>ООО "Альтернатива"</t>
  </si>
  <si>
    <t>2904028490</t>
  </si>
  <si>
    <t>03-08-2018 00:00:00</t>
  </si>
  <si>
    <t>31396309</t>
  </si>
  <si>
    <t>ООО "БОРОК"</t>
  </si>
  <si>
    <t>2910005090</t>
  </si>
  <si>
    <t>29-09-2014 00:00:00</t>
  </si>
  <si>
    <t>31817877</t>
  </si>
  <si>
    <t>ООО "ВПО"</t>
  </si>
  <si>
    <t>2901319639</t>
  </si>
  <si>
    <t>12-11-2024 00:00:00</t>
  </si>
  <si>
    <t>31685230</t>
  </si>
  <si>
    <t>2902090408</t>
  </si>
  <si>
    <t>16-12-2022 00:00:00</t>
  </si>
  <si>
    <t>30438295</t>
  </si>
  <si>
    <t>ООО "Виноградовское водоснабжающее предприятие"</t>
  </si>
  <si>
    <t>2910005156</t>
  </si>
  <si>
    <t>18-09-2015 00:00:00</t>
  </si>
  <si>
    <t>30856993</t>
  </si>
  <si>
    <t>ООО "ВодТрансСервис"</t>
  </si>
  <si>
    <t>2901262887</t>
  </si>
  <si>
    <t>18-11-2015 00:00:00</t>
  </si>
  <si>
    <t>31304529</t>
  </si>
  <si>
    <t>ООО "ВодаСтоки"</t>
  </si>
  <si>
    <t>2901295850</t>
  </si>
  <si>
    <t>25-02-2019 00:00:00</t>
  </si>
  <si>
    <t>26834865</t>
  </si>
  <si>
    <t>ООО "Водоканал Кулой"</t>
  </si>
  <si>
    <t>2907014249</t>
  </si>
  <si>
    <t>17-03-2011 00:00:00</t>
  </si>
  <si>
    <t>31685211</t>
  </si>
  <si>
    <t>ООО "Водоканал Приводино"</t>
  </si>
  <si>
    <t>2916500358</t>
  </si>
  <si>
    <t>13-09-2022 00:00:00</t>
  </si>
  <si>
    <t>28855722</t>
  </si>
  <si>
    <t>ООО "Водоканал"</t>
  </si>
  <si>
    <t>2907015972</t>
  </si>
  <si>
    <t>26-07-2014 00:00:00</t>
  </si>
  <si>
    <t>30994608</t>
  </si>
  <si>
    <t>2907017553</t>
  </si>
  <si>
    <t>08-09-2017 00:00:00</t>
  </si>
  <si>
    <t>31355115</t>
  </si>
  <si>
    <t>ООО "Водоснабжение"</t>
  </si>
  <si>
    <t>2910005269</t>
  </si>
  <si>
    <t>30-08-2019 00:00:00</t>
  </si>
  <si>
    <t>31656292</t>
  </si>
  <si>
    <t>ООО "ГИДРОН"</t>
  </si>
  <si>
    <t>2921128791</t>
  </si>
  <si>
    <t>15-06-2021 00:00:00</t>
  </si>
  <si>
    <t>28274931</t>
  </si>
  <si>
    <t>ООО "Гарант XXI век"</t>
  </si>
  <si>
    <t>2902044345</t>
  </si>
  <si>
    <t>16-07-2002 00:00:00</t>
  </si>
  <si>
    <t>31422443</t>
  </si>
  <si>
    <t>ООО "Гидроресурс"</t>
  </si>
  <si>
    <t>2920016929</t>
  </si>
  <si>
    <t>24-01-2020 00:00:00</t>
  </si>
  <si>
    <t>31696036</t>
  </si>
  <si>
    <t>ООО "ДКС"</t>
  </si>
  <si>
    <t>2908005166</t>
  </si>
  <si>
    <t>21-04-2023 00:00:00</t>
  </si>
  <si>
    <t>31304578</t>
  </si>
  <si>
    <t>ООО "ЖКХ Савинский"</t>
  </si>
  <si>
    <t>2920016774</t>
  </si>
  <si>
    <t>31-01-2019 00:00:00</t>
  </si>
  <si>
    <t>30357945</t>
  </si>
  <si>
    <t>ООО "ЖКХ-Сервис"</t>
  </si>
  <si>
    <t>2921127533</t>
  </si>
  <si>
    <t>12-10-2015 00:00:00</t>
  </si>
  <si>
    <t>30843680</t>
  </si>
  <si>
    <t>ООО "Исток"</t>
  </si>
  <si>
    <t>2920016125</t>
  </si>
  <si>
    <t>16-06-2016 00:00:00</t>
  </si>
  <si>
    <t>31775203</t>
  </si>
  <si>
    <t>ООО "К2 ЭНЕРГО"</t>
  </si>
  <si>
    <t>2918012606</t>
  </si>
  <si>
    <t>22-07-2022 00:00:00</t>
  </si>
  <si>
    <t>31781217</t>
  </si>
  <si>
    <t>ООО "КРСП"</t>
  </si>
  <si>
    <t>2911007621</t>
  </si>
  <si>
    <t>17-11-2023 00:00:00</t>
  </si>
  <si>
    <t>31460880</t>
  </si>
  <si>
    <t>ООО "КУРС"</t>
  </si>
  <si>
    <t>2912006998</t>
  </si>
  <si>
    <t>30-11-2020 00:00:00</t>
  </si>
  <si>
    <t>30351291</t>
  </si>
  <si>
    <t>ООО "КЭТС"</t>
  </si>
  <si>
    <t>3525023780</t>
  </si>
  <si>
    <t>352501001</t>
  </si>
  <si>
    <t>26472720</t>
  </si>
  <si>
    <t>ООО "Каргопольский водоканал"</t>
  </si>
  <si>
    <t>2911005590</t>
  </si>
  <si>
    <t>24-07-2007 00:00:00</t>
  </si>
  <si>
    <t>30380387</t>
  </si>
  <si>
    <t>ООО "Комфорт"</t>
  </si>
  <si>
    <t>2904027514</t>
  </si>
  <si>
    <t>30357974</t>
  </si>
  <si>
    <t>ООО "МАРАЙС"</t>
  </si>
  <si>
    <t>2921127389</t>
  </si>
  <si>
    <t>16-04-2015 00:00:00</t>
  </si>
  <si>
    <t>31433485</t>
  </si>
  <si>
    <t>ООО "НордСервис"</t>
  </si>
  <si>
    <t>2921127290</t>
  </si>
  <si>
    <t>27-02-2015 00:00:00</t>
  </si>
  <si>
    <t>31741909</t>
  </si>
  <si>
    <t>ООО "ОКСОР"</t>
  </si>
  <si>
    <t>2920017591</t>
  </si>
  <si>
    <t>31161159</t>
  </si>
  <si>
    <t>ООО "ОНИКС"</t>
  </si>
  <si>
    <t>2921128103</t>
  </si>
  <si>
    <t>13-02-2018 00:00:00</t>
  </si>
  <si>
    <t>28500521</t>
  </si>
  <si>
    <t>ООО "Онега-ВК"</t>
  </si>
  <si>
    <t>2906008059</t>
  </si>
  <si>
    <t>01-10-2013 00:00:00</t>
  </si>
  <si>
    <t>31161126</t>
  </si>
  <si>
    <t>ООО "ПКС"</t>
  </si>
  <si>
    <t>2901291983</t>
  </si>
  <si>
    <t>28-05-2018 00:00:00</t>
  </si>
  <si>
    <t>31362545</t>
  </si>
  <si>
    <t>ООО "ПКФ "Холмогоры"</t>
  </si>
  <si>
    <t>2923006372</t>
  </si>
  <si>
    <t>22-12-2010 00:00:00</t>
  </si>
  <si>
    <t>28465585</t>
  </si>
  <si>
    <t>31825501</t>
  </si>
  <si>
    <t>ООО "ПОВ"</t>
  </si>
  <si>
    <t>2901319660</t>
  </si>
  <si>
    <t>15-11-2024 00:00:00</t>
  </si>
  <si>
    <t>31601213</t>
  </si>
  <si>
    <t>ООО "ПРУК АО"</t>
  </si>
  <si>
    <t>2920017016</t>
  </si>
  <si>
    <t>21-06-2022 00:00:00</t>
  </si>
  <si>
    <t>30354146</t>
  </si>
  <si>
    <t>ООО "Персей-1"</t>
  </si>
  <si>
    <t>2901115603</t>
  </si>
  <si>
    <t>25-06-2003 00:00:00</t>
  </si>
  <si>
    <t>30917049</t>
  </si>
  <si>
    <t>ООО "Полина"</t>
  </si>
  <si>
    <t>2919006683</t>
  </si>
  <si>
    <t>07-10-2008 00:00:00</t>
  </si>
  <si>
    <t>31300589</t>
  </si>
  <si>
    <t>ООО "Предприятие Коммунального Снабжения"</t>
  </si>
  <si>
    <t>2901294173</t>
  </si>
  <si>
    <t>26-10-2018 00:00:00</t>
  </si>
  <si>
    <t>31305848</t>
  </si>
  <si>
    <t>ООО "Промсток"</t>
  </si>
  <si>
    <t>2909003115</t>
  </si>
  <si>
    <t>04-10-2012 00:00:00</t>
  </si>
  <si>
    <t>31399548</t>
  </si>
  <si>
    <t>ООО "Пятый элемент"</t>
  </si>
  <si>
    <t>2901182053</t>
  </si>
  <si>
    <t>08-08-2008 00:00:00</t>
  </si>
  <si>
    <t>31222645</t>
  </si>
  <si>
    <t>ООО "РВК-Архангельск"</t>
  </si>
  <si>
    <t>7726747370</t>
  </si>
  <si>
    <t>16-05-2014 00:00:00</t>
  </si>
  <si>
    <t>31458780</t>
  </si>
  <si>
    <t>ООО "Районный водоканал"</t>
  </si>
  <si>
    <t>2901302219</t>
  </si>
  <si>
    <t>12-08-2020 00:00:00</t>
  </si>
  <si>
    <t>31778822</t>
  </si>
  <si>
    <t>ООО "СГР"</t>
  </si>
  <si>
    <t>2920017778</t>
  </si>
  <si>
    <t>06-09-2024 00:00:00</t>
  </si>
  <si>
    <t>31457107</t>
  </si>
  <si>
    <t>ООО "СЗ САС-СБЫТ"</t>
  </si>
  <si>
    <t>2901241647</t>
  </si>
  <si>
    <t>290010100</t>
  </si>
  <si>
    <t>14-10-2013 00:00:00</t>
  </si>
  <si>
    <t>31453023</t>
  </si>
  <si>
    <t>ООО "СКП"</t>
  </si>
  <si>
    <t>2901302522</t>
  </si>
  <si>
    <t>02-09-2020 00:00:00</t>
  </si>
  <si>
    <t>30380412</t>
  </si>
  <si>
    <t>ООО "Светлый дом"</t>
  </si>
  <si>
    <t>2923005900</t>
  </si>
  <si>
    <t>04-02-2009 00:00:00</t>
  </si>
  <si>
    <t>28942985</t>
  </si>
  <si>
    <t>ООО "Север"</t>
  </si>
  <si>
    <t>2921127212</t>
  </si>
  <si>
    <t>31742447</t>
  </si>
  <si>
    <t>ООО "Север-Ресурс"</t>
  </si>
  <si>
    <t>2902090990</t>
  </si>
  <si>
    <t>28869718</t>
  </si>
  <si>
    <t>ООО "Сириус-А"</t>
  </si>
  <si>
    <t>2901111172</t>
  </si>
  <si>
    <t>15-01-2003 00:00:00</t>
  </si>
  <si>
    <t>28869751</t>
  </si>
  <si>
    <t>ООО "Спектр"</t>
  </si>
  <si>
    <t>2923005837</t>
  </si>
  <si>
    <t>25-12-2008 00:00:00</t>
  </si>
  <si>
    <t>31366421</t>
  </si>
  <si>
    <t>ООО "УДК"</t>
  </si>
  <si>
    <t>2901291581</t>
  </si>
  <si>
    <t>28-04-2018 00:00:00</t>
  </si>
  <si>
    <t>30917203</t>
  </si>
  <si>
    <t>ООО "УК "АЖС"</t>
  </si>
  <si>
    <t>2918011257</t>
  </si>
  <si>
    <t>10-06-2015 00:00:00</t>
  </si>
  <si>
    <t>30859070</t>
  </si>
  <si>
    <t>ООО "УК "БЕЛОМОРКАНАЛ"</t>
  </si>
  <si>
    <t>2901264796</t>
  </si>
  <si>
    <t>01-02-2016 00:00:00</t>
  </si>
  <si>
    <t>31387682</t>
  </si>
  <si>
    <t>ООО "УК "КВАНТ"</t>
  </si>
  <si>
    <t>2901286983</t>
  </si>
  <si>
    <t>17-07-2017 00:00:00</t>
  </si>
  <si>
    <t>31664282</t>
  </si>
  <si>
    <t>ООО "УК "ОРЕОЛ"</t>
  </si>
  <si>
    <t>2901311781</t>
  </si>
  <si>
    <t>16-11-2022 00:00:00</t>
  </si>
  <si>
    <t>31762878</t>
  </si>
  <si>
    <t>ООО "ЧИСТАЯ ВОДА"</t>
  </si>
  <si>
    <t>2919007609</t>
  </si>
  <si>
    <t>14-08-2014 00:00:00</t>
  </si>
  <si>
    <t>31356180</t>
  </si>
  <si>
    <t>Общество с ограниченной ответственностью "Астрея Поморья"</t>
  </si>
  <si>
    <t>2901280678</t>
  </si>
  <si>
    <t>05-10-2016 00:00:00</t>
  </si>
  <si>
    <t>31287454</t>
  </si>
  <si>
    <t>Общество с ограниченной ответственностью "НЯНДОМСКАЯ ВОДА"</t>
  </si>
  <si>
    <t>2918012010</t>
  </si>
  <si>
    <t>16-11-2018 00:00:00</t>
  </si>
  <si>
    <t>31295836</t>
  </si>
  <si>
    <t>Общество с ограниченной ответственностью «Капитель»</t>
  </si>
  <si>
    <t>2904025965</t>
  </si>
  <si>
    <t>14-04-2015 00:00:00</t>
  </si>
  <si>
    <t>31680440</t>
  </si>
  <si>
    <t>МУП "Городское благоустройство"</t>
  </si>
  <si>
    <t>2901015510</t>
  </si>
  <si>
    <t>28-12-2002 00:00:00</t>
  </si>
  <si>
    <t>31640423</t>
  </si>
  <si>
    <t>ООО "АМТП"</t>
  </si>
  <si>
    <t>2901311982</t>
  </si>
  <si>
    <t>01-12-2022 00:00:00</t>
  </si>
  <si>
    <t>30858152</t>
  </si>
  <si>
    <t>ООО "Архэнергия"</t>
  </si>
  <si>
    <t>2901276865</t>
  </si>
  <si>
    <t>08-04-2016 00:00:00</t>
  </si>
  <si>
    <t>30835934</t>
  </si>
  <si>
    <t>ООО "БиоРесурс"</t>
  </si>
  <si>
    <t>2918011497</t>
  </si>
  <si>
    <t>08-06-2016 00:00:00</t>
  </si>
  <si>
    <t>31752824</t>
  </si>
  <si>
    <t>ООО "ВОДОРЕСУРС"</t>
  </si>
  <si>
    <t>2901314648</t>
  </si>
  <si>
    <t>14-08-2023 00:00:00</t>
  </si>
  <si>
    <t>31347411</t>
  </si>
  <si>
    <t>ООО "Водоканал Холмогоры"</t>
  </si>
  <si>
    <t>2901297015</t>
  </si>
  <si>
    <t>16-05-2019 00:00:00</t>
  </si>
  <si>
    <t>31600777</t>
  </si>
  <si>
    <t>ООО "Каргопольские Очистные Сооружения"</t>
  </si>
  <si>
    <t>2911007420</t>
  </si>
  <si>
    <t>27-05-2021 00:00:00</t>
  </si>
  <si>
    <t>31521508</t>
  </si>
  <si>
    <t>ООО "ЛУЧ"</t>
  </si>
  <si>
    <t>2912006229</t>
  </si>
  <si>
    <t>19-11-2012 00:00:00</t>
  </si>
  <si>
    <t>31862038</t>
  </si>
  <si>
    <t>ООО "НЯНДОМСКОЕ ВКХ"</t>
  </si>
  <si>
    <t>2918012941</t>
  </si>
  <si>
    <t>02-04-2025 00:00:00</t>
  </si>
  <si>
    <t>28141527</t>
  </si>
  <si>
    <t>ООО "Нордхим"</t>
  </si>
  <si>
    <t>2902034403</t>
  </si>
  <si>
    <t>11-07-2002 00:00:00</t>
  </si>
  <si>
    <t>31541256</t>
  </si>
  <si>
    <t>ООО "Персей-6"</t>
  </si>
  <si>
    <t>2901142678</t>
  </si>
  <si>
    <t>14-12-2005 00:00:00</t>
  </si>
  <si>
    <t>31506375</t>
  </si>
  <si>
    <t>ООО "СЗ "Инвестстрой"</t>
  </si>
  <si>
    <t>2901299566</t>
  </si>
  <si>
    <t>09-12-2019 00:00:00</t>
  </si>
  <si>
    <t>31773771</t>
  </si>
  <si>
    <t>ООО "СМК"</t>
  </si>
  <si>
    <t>2902084838</t>
  </si>
  <si>
    <t>01-11-2017 00:00:00</t>
  </si>
  <si>
    <t>31912712</t>
  </si>
  <si>
    <t>ООО "ТЕПЛОСЕРВИС"</t>
  </si>
  <si>
    <t>2901322800</t>
  </si>
  <si>
    <t>30-09-2025 00:00:00</t>
  </si>
  <si>
    <t>31034275</t>
  </si>
  <si>
    <t>ООО "УК "ТЕХНОЛОГИЯ"</t>
  </si>
  <si>
    <t>2901279048</t>
  </si>
  <si>
    <t>21-07-2016 00:00:00</t>
  </si>
  <si>
    <t>31287464</t>
  </si>
  <si>
    <t>Общество с ограниченной ответственностью "НЯНДОМСКОЕ ВОДОПРОВОДНО-КАНАЛИЗАЦИОННОЕ ХОЗЯЙСТВО"</t>
  </si>
  <si>
    <t>2918012028</t>
  </si>
  <si>
    <t>31717362</t>
  </si>
  <si>
    <t>Акционерное общество "Архангельский экологический оператор"</t>
  </si>
  <si>
    <t>2901250088</t>
  </si>
  <si>
    <t>31768481</t>
  </si>
  <si>
    <t>ИП Каллио Н.Е.</t>
  </si>
  <si>
    <t>290101001941</t>
  </si>
  <si>
    <t>31768477</t>
  </si>
  <si>
    <t>ИП Котова М.А</t>
  </si>
  <si>
    <t>291700248019</t>
  </si>
  <si>
    <t>23-06-2015 00:00:00</t>
  </si>
  <si>
    <t>31768473</t>
  </si>
  <si>
    <t>ИП Мылюев С.В.</t>
  </si>
  <si>
    <t>291700187101</t>
  </si>
  <si>
    <t>25-11-2019 00:00:00</t>
  </si>
  <si>
    <t>31768571</t>
  </si>
  <si>
    <t>ИП Танашева М.С.</t>
  </si>
  <si>
    <t>290303760317</t>
  </si>
  <si>
    <t>31813705</t>
  </si>
  <si>
    <t>МАУ "РКЦ ЖКХ"</t>
  </si>
  <si>
    <t>2918012243</t>
  </si>
  <si>
    <t>31-12-2019 00:00:00</t>
  </si>
  <si>
    <t>31771265</t>
  </si>
  <si>
    <t>МБУ "Благоустройство"</t>
  </si>
  <si>
    <t>2906008348</t>
  </si>
  <si>
    <t>21-05-2015 00:00:00</t>
  </si>
  <si>
    <t>26471692</t>
  </si>
  <si>
    <t>МБУ "Флора-Дизайн"</t>
  </si>
  <si>
    <t>2903010853</t>
  </si>
  <si>
    <t>03-09-2013 00:00:00</t>
  </si>
  <si>
    <t>31366417</t>
  </si>
  <si>
    <t>МКУ "Управление делами"</t>
  </si>
  <si>
    <t>2921128093</t>
  </si>
  <si>
    <t>21-12-2017 00:00:00</t>
  </si>
  <si>
    <t>30401329</t>
  </si>
  <si>
    <t>МУП "Мирнинская ЖКК"</t>
  </si>
  <si>
    <t>2925005600</t>
  </si>
  <si>
    <t>02-08-2010 00:00:00</t>
  </si>
  <si>
    <t>26446825</t>
  </si>
  <si>
    <t>МУП "Полигон"</t>
  </si>
  <si>
    <t>2905008899</t>
  </si>
  <si>
    <t>22-12-2006 00:00:00</t>
  </si>
  <si>
    <t>31768444</t>
  </si>
  <si>
    <t>Матвеева Анна Дмитриевна</t>
  </si>
  <si>
    <t>290120239964</t>
  </si>
  <si>
    <t>31297358</t>
  </si>
  <si>
    <t>ООО "АМПК"</t>
  </si>
  <si>
    <t>2901221922</t>
  </si>
  <si>
    <t>23-12-2011 00:00:00</t>
  </si>
  <si>
    <t>31661184</t>
  </si>
  <si>
    <t>ООО "Альянс"</t>
  </si>
  <si>
    <t>2924005808</t>
  </si>
  <si>
    <t>25-05-2022 00:00:00</t>
  </si>
  <si>
    <t>31718402</t>
  </si>
  <si>
    <t>ООО "Бастион"</t>
  </si>
  <si>
    <t>9719016895</t>
  </si>
  <si>
    <t>771901001</t>
  </si>
  <si>
    <t>16-08-2021 00:00:00</t>
  </si>
  <si>
    <t>27901492</t>
  </si>
  <si>
    <t>ООО "Гейзер"</t>
  </si>
  <si>
    <t>3526028124</t>
  </si>
  <si>
    <t>352601001</t>
  </si>
  <si>
    <t>20-07-2011 00:00:00</t>
  </si>
  <si>
    <t>26465340</t>
  </si>
  <si>
    <t>ООО "Геракл"</t>
  </si>
  <si>
    <t>2904016689</t>
  </si>
  <si>
    <t>25-04-2006 00:00:00</t>
  </si>
  <si>
    <t>27748237</t>
  </si>
  <si>
    <t>ООО "Д-Люкс"</t>
  </si>
  <si>
    <t>2906006580</t>
  </si>
  <si>
    <t>02-06-2006 00:00:00</t>
  </si>
  <si>
    <t>31558277</t>
  </si>
  <si>
    <t>ООО "Дампстер"</t>
  </si>
  <si>
    <t>2923006735</t>
  </si>
  <si>
    <t>31-05-2012 00:00:00</t>
  </si>
  <si>
    <t>31768395</t>
  </si>
  <si>
    <t>ООО "ЖКХ Холмогоры"</t>
  </si>
  <si>
    <t>2923007150</t>
  </si>
  <si>
    <t>27604870</t>
  </si>
  <si>
    <t>ООО "Ликвидатор"</t>
  </si>
  <si>
    <t>2901192615</t>
  </si>
  <si>
    <t>15-09-2009 00:00:00</t>
  </si>
  <si>
    <t>31719596</t>
  </si>
  <si>
    <t>ООО "НЭК"</t>
  </si>
  <si>
    <t>5031113807</t>
  </si>
  <si>
    <t>503101001</t>
  </si>
  <si>
    <t>01-04-2022 00:00:00</t>
  </si>
  <si>
    <t>31910388</t>
  </si>
  <si>
    <t>ООО "Няндомский экологический оператор"</t>
  </si>
  <si>
    <t>2901318498</t>
  </si>
  <si>
    <t>25-07-2024 00:00:00</t>
  </si>
  <si>
    <t>31719132</t>
  </si>
  <si>
    <t>ООО "ПромКонсалт"</t>
  </si>
  <si>
    <t>2901308700</t>
  </si>
  <si>
    <t>27342513</t>
  </si>
  <si>
    <t>ООО "Профреал"</t>
  </si>
  <si>
    <t>2901188591</t>
  </si>
  <si>
    <t>12-01-2009 00:00:00</t>
  </si>
  <si>
    <t>31412436</t>
  </si>
  <si>
    <t>ООО "Резалит"</t>
  </si>
  <si>
    <t>2923007070</t>
  </si>
  <si>
    <t>14-05-2014 00:00:00</t>
  </si>
  <si>
    <t>27588738</t>
  </si>
  <si>
    <t>ООО "Сапфир"</t>
  </si>
  <si>
    <t>2916003028</t>
  </si>
  <si>
    <t>15-12-2010 00:00:00</t>
  </si>
  <si>
    <t>31772051</t>
  </si>
  <si>
    <t>ООО "Севералмаз"</t>
  </si>
  <si>
    <t>2901038518</t>
  </si>
  <si>
    <t>424950001</t>
  </si>
  <si>
    <t>02-10-2002 00:00:00</t>
  </si>
  <si>
    <t>31768455</t>
  </si>
  <si>
    <t>ООО "СпецТехСлужба"</t>
  </si>
  <si>
    <t>2901213752</t>
  </si>
  <si>
    <t>27573560</t>
  </si>
  <si>
    <t>ООО "Спецавтосервис"</t>
  </si>
  <si>
    <t>2902054199</t>
  </si>
  <si>
    <t>23-10-2006 00:00:00</t>
  </si>
  <si>
    <t>31719039</t>
  </si>
  <si>
    <t>ООО "Спецавтотранс"</t>
  </si>
  <si>
    <t>2902079411</t>
  </si>
  <si>
    <t>31196778</t>
  </si>
  <si>
    <t>ООО "Спецавтохозяйство по уборке города"</t>
  </si>
  <si>
    <t>2901291976</t>
  </si>
  <si>
    <t>27838892</t>
  </si>
  <si>
    <t>ООО "ТрансДорПроект"</t>
  </si>
  <si>
    <t>2901148535</t>
  </si>
  <si>
    <t>31598304</t>
  </si>
  <si>
    <t>ООО "Трансдорпроект"</t>
  </si>
  <si>
    <t>02-05-2006 00:00:00</t>
  </si>
  <si>
    <t>31742137</t>
  </si>
  <si>
    <t>ООО "Транссервис"</t>
  </si>
  <si>
    <t>2918010447</t>
  </si>
  <si>
    <t>24-11-2022 00:00:00</t>
  </si>
  <si>
    <t>31718360</t>
  </si>
  <si>
    <t>ООО "Универсал-Сервис"</t>
  </si>
  <si>
    <t>2910005082</t>
  </si>
  <si>
    <t>16-09-2014 00:00:00</t>
  </si>
  <si>
    <t>31910379</t>
  </si>
  <si>
    <t>ООО "Холмогорский экологический оператор"</t>
  </si>
  <si>
    <t>2901318480</t>
  </si>
  <si>
    <t>28814947</t>
  </si>
  <si>
    <t>ООО "Эверест"</t>
  </si>
  <si>
    <t>2904025757</t>
  </si>
  <si>
    <t>21-01-2014 00:00:00</t>
  </si>
  <si>
    <t>31376686</t>
  </si>
  <si>
    <t>ООО "ЭкоИнтегратор"</t>
  </si>
  <si>
    <t>7743274766</t>
  </si>
  <si>
    <t>17-09-2018 00:00:00</t>
  </si>
  <si>
    <t>30908955</t>
  </si>
  <si>
    <t>ООО "ЭкоЦентр"</t>
  </si>
  <si>
    <t>3444177534</t>
  </si>
  <si>
    <t>770301001</t>
  </si>
  <si>
    <t>31718540</t>
  </si>
  <si>
    <t>ООО "Экопрофи"</t>
  </si>
  <si>
    <t>7720430070</t>
  </si>
  <si>
    <t>772501001</t>
  </si>
  <si>
    <t>28058507</t>
  </si>
  <si>
    <t>ООО "Яренские зори"</t>
  </si>
  <si>
    <t>2915003787</t>
  </si>
  <si>
    <t>15-05-2007 00:00:00</t>
  </si>
  <si>
    <t>27680455</t>
  </si>
  <si>
    <t>ООО «Жилищные услуги»</t>
  </si>
  <si>
    <t>2911006000</t>
  </si>
  <si>
    <t>06-12-2009 00:00:00</t>
  </si>
  <si>
    <t>31269437</t>
  </si>
  <si>
    <t>ООО ИРЦ "Соловецкий"</t>
  </si>
  <si>
    <t>2901242168</t>
  </si>
  <si>
    <t>28-10-2013 00:00:00</t>
  </si>
  <si>
    <t>31338989</t>
  </si>
  <si>
    <t>Общество с ограниченной ответственностью "ЭЖВА"</t>
  </si>
  <si>
    <t>2915004501</t>
  </si>
  <si>
    <t>30-04-2019 00:00:00</t>
  </si>
  <si>
    <t>26470801</t>
  </si>
  <si>
    <t>СМУП "Спецавтохозяйство"</t>
  </si>
  <si>
    <t>2902012819</t>
  </si>
  <si>
    <t>20-09-2002 00:00:00</t>
  </si>
  <si>
    <t>NSRF</t>
  </si>
  <si>
    <t>MR_NAME</t>
  </si>
  <si>
    <t>OKTMO_MR_NAME</t>
  </si>
  <si>
    <t>MO_NAME</t>
  </si>
  <si>
    <t>OKTMO_NAME</t>
  </si>
  <si>
    <t>TYPE</t>
  </si>
  <si>
    <t>MR_ID</t>
  </si>
  <si>
    <t>городской округ</t>
  </si>
  <si>
    <t>Вельский муниципальный округ</t>
  </si>
  <si>
    <t>11505000</t>
  </si>
  <si>
    <t>муниципальный округ</t>
  </si>
  <si>
    <t>Вельский муниципальный район</t>
  </si>
  <si>
    <t>11605000</t>
  </si>
  <si>
    <t>Аргуновское</t>
  </si>
  <si>
    <t>11605402</t>
  </si>
  <si>
    <t>сельское поселение</t>
  </si>
  <si>
    <t>Благовещенское</t>
  </si>
  <si>
    <t>11605404</t>
  </si>
  <si>
    <t>муниципальный район</t>
  </si>
  <si>
    <t>Вельское</t>
  </si>
  <si>
    <t>11605101</t>
  </si>
  <si>
    <t>городское поселение, в состав которого входит город</t>
  </si>
  <si>
    <t>Верхнеустькулойское</t>
  </si>
  <si>
    <t>11605408</t>
  </si>
  <si>
    <t>Верхнешоношское</t>
  </si>
  <si>
    <t>11605412</t>
  </si>
  <si>
    <t>Кулойское</t>
  </si>
  <si>
    <t>11605157</t>
  </si>
  <si>
    <t>городское поселение, в состав которого входит поселок</t>
  </si>
  <si>
    <t>Липовское</t>
  </si>
  <si>
    <t>11605416</t>
  </si>
  <si>
    <t>Муравьевское</t>
  </si>
  <si>
    <t>11605418</t>
  </si>
  <si>
    <t>Низовское</t>
  </si>
  <si>
    <t>11605420</t>
  </si>
  <si>
    <t>Пакшеньгское</t>
  </si>
  <si>
    <t>11605424</t>
  </si>
  <si>
    <t>Пежемское</t>
  </si>
  <si>
    <t>11605428</t>
  </si>
  <si>
    <t>Попонаволоцкое</t>
  </si>
  <si>
    <t>11605432</t>
  </si>
  <si>
    <t>Пуйское</t>
  </si>
  <si>
    <t>11605436</t>
  </si>
  <si>
    <t>Ракуло-Кокшеньгское</t>
  </si>
  <si>
    <t>11605440</t>
  </si>
  <si>
    <t>Солгинское</t>
  </si>
  <si>
    <t>11605442</t>
  </si>
  <si>
    <t>Судромское</t>
  </si>
  <si>
    <t>11605444</t>
  </si>
  <si>
    <t>Тегринское</t>
  </si>
  <si>
    <t>11605446</t>
  </si>
  <si>
    <t>Усть-Вельское</t>
  </si>
  <si>
    <t>11605448</t>
  </si>
  <si>
    <t>Усть-Шоношское</t>
  </si>
  <si>
    <t>11605449</t>
  </si>
  <si>
    <t>Хозьминское</t>
  </si>
  <si>
    <t>11605452</t>
  </si>
  <si>
    <t>Шадреньгское</t>
  </si>
  <si>
    <t>11605456</t>
  </si>
  <si>
    <t>Верхнетоемский муниципальный округ</t>
  </si>
  <si>
    <t>11508000</t>
  </si>
  <si>
    <t>Вилегодский муниципальный округ</t>
  </si>
  <si>
    <t>11511000</t>
  </si>
  <si>
    <t>Виноградовский муниципальный округ</t>
  </si>
  <si>
    <t>11514000</t>
  </si>
  <si>
    <t>ЗАТО Мирный</t>
  </si>
  <si>
    <t>11725000</t>
  </si>
  <si>
    <t>Каргопольский муниципальный округ</t>
  </si>
  <si>
    <t>11518000</t>
  </si>
  <si>
    <t>Коношский муниципальный район</t>
  </si>
  <si>
    <t>11622000</t>
  </si>
  <si>
    <t>Волошское</t>
  </si>
  <si>
    <t>11622406</t>
  </si>
  <si>
    <t>Вохтомское</t>
  </si>
  <si>
    <t>11622408</t>
  </si>
  <si>
    <t>Ерцевское</t>
  </si>
  <si>
    <t>11622418</t>
  </si>
  <si>
    <t>Климовское</t>
  </si>
  <si>
    <t>11622424</t>
  </si>
  <si>
    <t>Коношское</t>
  </si>
  <si>
    <t>11622151</t>
  </si>
  <si>
    <t>Мирный</t>
  </si>
  <si>
    <t>11622425</t>
  </si>
  <si>
    <t>Подюжское</t>
  </si>
  <si>
    <t>11622426</t>
  </si>
  <si>
    <t>Тавреньгское</t>
  </si>
  <si>
    <t>11622432</t>
  </si>
  <si>
    <t>Коряжма</t>
  </si>
  <si>
    <t>11708000</t>
  </si>
  <si>
    <t>Котлас</t>
  </si>
  <si>
    <t>11710000</t>
  </si>
  <si>
    <t>Котласский муниципальный округ</t>
  </si>
  <si>
    <t>11527000</t>
  </si>
  <si>
    <t>Красноборский муниципальный округ</t>
  </si>
  <si>
    <t>11530000</t>
  </si>
  <si>
    <t>Красноборский муниципальный район</t>
  </si>
  <si>
    <t>11630000</t>
  </si>
  <si>
    <t>Алексеевское</t>
  </si>
  <si>
    <t>11630404</t>
  </si>
  <si>
    <t>Белослудское</t>
  </si>
  <si>
    <t>11630408</t>
  </si>
  <si>
    <t>Верхнеуфтюгское</t>
  </si>
  <si>
    <t>11630416</t>
  </si>
  <si>
    <t>Куликовское</t>
  </si>
  <si>
    <t>11630420</t>
  </si>
  <si>
    <t>Пермогорское</t>
  </si>
  <si>
    <t>11630428</t>
  </si>
  <si>
    <t>Телеговское</t>
  </si>
  <si>
    <t>11630432</t>
  </si>
  <si>
    <t>Черевковское</t>
  </si>
  <si>
    <t>11630436</t>
  </si>
  <si>
    <t>Ленский муниципальный район</t>
  </si>
  <si>
    <t>11635000</t>
  </si>
  <si>
    <t>Козьминское</t>
  </si>
  <si>
    <t>11635408</t>
  </si>
  <si>
    <t>Сафроновское</t>
  </si>
  <si>
    <t>11635420</t>
  </si>
  <si>
    <t>Сойгинское</t>
  </si>
  <si>
    <t>11635428</t>
  </si>
  <si>
    <t>Урдомское</t>
  </si>
  <si>
    <t>11635157</t>
  </si>
  <si>
    <t>Лешуконский муниципальный округ</t>
  </si>
  <si>
    <t>11538000</t>
  </si>
  <si>
    <t>Мезенский муниципальный округ</t>
  </si>
  <si>
    <t>11542000</t>
  </si>
  <si>
    <t>Новая Земля</t>
  </si>
  <si>
    <t>11712000</t>
  </si>
  <si>
    <t>Новодвинск</t>
  </si>
  <si>
    <t>11715000</t>
  </si>
  <si>
    <t>60</t>
  </si>
  <si>
    <t>Няндомский муниципальный округ</t>
  </si>
  <si>
    <t>11544000</t>
  </si>
  <si>
    <t>61</t>
  </si>
  <si>
    <t>Онежский муниципальный округ</t>
  </si>
  <si>
    <t>11546000</t>
  </si>
  <si>
    <t>62</t>
  </si>
  <si>
    <t>Онежский муниципальный район</t>
  </si>
  <si>
    <t>11646000</t>
  </si>
  <si>
    <t>Золотухское</t>
  </si>
  <si>
    <t>11646402</t>
  </si>
  <si>
    <t>63</t>
  </si>
  <si>
    <t>Кодинское</t>
  </si>
  <si>
    <t>11646403</t>
  </si>
  <si>
    <t>64</t>
  </si>
  <si>
    <t>Малошуйское</t>
  </si>
  <si>
    <t>11646162</t>
  </si>
  <si>
    <t>65</t>
  </si>
  <si>
    <t>Межселенные территории, входящие в состав территории Онежского муниципального района, кроме территорий городских и сельских поселений</t>
  </si>
  <si>
    <t>11646701</t>
  </si>
  <si>
    <t>межселенная территория</t>
  </si>
  <si>
    <t>Нименьгское</t>
  </si>
  <si>
    <t>11646416</t>
  </si>
  <si>
    <t>67</t>
  </si>
  <si>
    <t>Онежское</t>
  </si>
  <si>
    <t>11646101</t>
  </si>
  <si>
    <t>69</t>
  </si>
  <si>
    <t>Покровское</t>
  </si>
  <si>
    <t>11646432</t>
  </si>
  <si>
    <t>70</t>
  </si>
  <si>
    <t>Порожское</t>
  </si>
  <si>
    <t>11646436</t>
  </si>
  <si>
    <t>71</t>
  </si>
  <si>
    <t>Чекуевское</t>
  </si>
  <si>
    <t>11646444</t>
  </si>
  <si>
    <t>72</t>
  </si>
  <si>
    <t>Пинежский муниципальный округ</t>
  </si>
  <si>
    <t>11548000</t>
  </si>
  <si>
    <t>73</t>
  </si>
  <si>
    <t>Пинежский муниципальный район</t>
  </si>
  <si>
    <t>11648000</t>
  </si>
  <si>
    <t>Веркольское</t>
  </si>
  <si>
    <t>11648404</t>
  </si>
  <si>
    <t>74</t>
  </si>
  <si>
    <t>Карпогорское</t>
  </si>
  <si>
    <t>11648408</t>
  </si>
  <si>
    <t>75</t>
  </si>
  <si>
    <t>Кеврольское</t>
  </si>
  <si>
    <t>11648412</t>
  </si>
  <si>
    <t>76</t>
  </si>
  <si>
    <t>Кушкопальское</t>
  </si>
  <si>
    <t>11648416</t>
  </si>
  <si>
    <t>77</t>
  </si>
  <si>
    <t>Лавельское</t>
  </si>
  <si>
    <t>11648420</t>
  </si>
  <si>
    <t>78</t>
  </si>
  <si>
    <t>Междуреченское</t>
  </si>
  <si>
    <t>11648422</t>
  </si>
  <si>
    <t>79</t>
  </si>
  <si>
    <t>Нюхченское</t>
  </si>
  <si>
    <t>11648424</t>
  </si>
  <si>
    <t>80</t>
  </si>
  <si>
    <t>81</t>
  </si>
  <si>
    <t>Пинежское</t>
  </si>
  <si>
    <t>11648427</t>
  </si>
  <si>
    <t>82</t>
  </si>
  <si>
    <t>Пиринемское</t>
  </si>
  <si>
    <t>11648425</t>
  </si>
  <si>
    <t>83</t>
  </si>
  <si>
    <t>Покшеньгское</t>
  </si>
  <si>
    <t>11648428</t>
  </si>
  <si>
    <t>84</t>
  </si>
  <si>
    <t>Сийское</t>
  </si>
  <si>
    <t>11648431</t>
  </si>
  <si>
    <t>85</t>
  </si>
  <si>
    <t>Сосновское</t>
  </si>
  <si>
    <t>11648432</t>
  </si>
  <si>
    <t>86</t>
  </si>
  <si>
    <t>Сурское</t>
  </si>
  <si>
    <t>11648440</t>
  </si>
  <si>
    <t>87</t>
  </si>
  <si>
    <t>Шилегское</t>
  </si>
  <si>
    <t>11648452</t>
  </si>
  <si>
    <t>88</t>
  </si>
  <si>
    <t>Плесецкий муниципальный округ</t>
  </si>
  <si>
    <t>11550000</t>
  </si>
  <si>
    <t>89</t>
  </si>
  <si>
    <t>Приморский муниципальный округ</t>
  </si>
  <si>
    <t>11552000</t>
  </si>
  <si>
    <t>90</t>
  </si>
  <si>
    <t>11652000</t>
  </si>
  <si>
    <t>Боброво-Лявленское</t>
  </si>
  <si>
    <t>11652406</t>
  </si>
  <si>
    <t>91</t>
  </si>
  <si>
    <t>Заостровское</t>
  </si>
  <si>
    <t>11652408</t>
  </si>
  <si>
    <t>92</t>
  </si>
  <si>
    <t>Катунинское</t>
  </si>
  <si>
    <t>11652420</t>
  </si>
  <si>
    <t>93</t>
  </si>
  <si>
    <t>Островное</t>
  </si>
  <si>
    <t>11652446</t>
  </si>
  <si>
    <t>95</t>
  </si>
  <si>
    <t>Пертоминское</t>
  </si>
  <si>
    <t>11652448</t>
  </si>
  <si>
    <t>96</t>
  </si>
  <si>
    <t>97</t>
  </si>
  <si>
    <t>Приморское</t>
  </si>
  <si>
    <t>11652452</t>
  </si>
  <si>
    <t>98</t>
  </si>
  <si>
    <t>Соловецкое</t>
  </si>
  <si>
    <t>11652458</t>
  </si>
  <si>
    <t>99</t>
  </si>
  <si>
    <t>Уемское</t>
  </si>
  <si>
    <t>11652466</t>
  </si>
  <si>
    <t>101</t>
  </si>
  <si>
    <t>Северодвинск</t>
  </si>
  <si>
    <t>11730000</t>
  </si>
  <si>
    <t>102</t>
  </si>
  <si>
    <t>Устьянский муниципальный округ</t>
  </si>
  <si>
    <t>11554000</t>
  </si>
  <si>
    <t>103</t>
  </si>
  <si>
    <t>Холмогорский муниципальный округ</t>
  </si>
  <si>
    <t>11556000</t>
  </si>
  <si>
    <t>104</t>
  </si>
  <si>
    <t>Шенкурский муниципальный округ</t>
  </si>
  <si>
    <t>11558000</t>
  </si>
  <si>
    <t>105</t>
  </si>
  <si>
    <t>NUMBER_POINT</t>
  </si>
  <si>
    <t>INVP_NAME</t>
  </si>
  <si>
    <t>INVP_ID</t>
  </si>
  <si>
    <t>L_START_DATE</t>
  </si>
  <si>
    <t>L_END_DATE</t>
  </si>
  <si>
    <t>L_DECISION_NAME</t>
  </si>
  <si>
    <t>L_DECISION_TYPE</t>
  </si>
  <si>
    <t>L_DECISION_NMBR</t>
  </si>
  <si>
    <t>L_DECISION_DATE</t>
  </si>
  <si>
    <t>Инвестиционная программа № 187-п от 05.11.2025 ООО "КМ ТЭР" в сфере теплоснабжения по техническому перевооружению водогрейной (биотопливной) котельной, на территории муниципального округа Холмогорский на 2026-2037 годы</t>
  </si>
  <si>
    <t>01.01.2026</t>
  </si>
  <si>
    <t>31.12.2037</t>
  </si>
  <si>
    <t>Инвестиционная программа № 188-п от 05.11.2025 ООО "ОК И ТС" в сфере теплоснабжения по реконструкции и модернизации существующих объектов централизованных систем теплоснабжения, на территории городского округа Котлас на 2026-2028 годы</t>
  </si>
  <si>
    <t>31.12.2028</t>
  </si>
  <si>
    <t>Инвестиционная программа № 193-п от 20.11.2025 ООО "ТЕПЛОЭНЕРГО" в сфере теплоснабжения по реконструкции и модернизации существующих объектов котельных и тепловых сетей, на территории муниципального района Коношский на 2026-2027 годы</t>
  </si>
  <si>
    <t>31.12.2027</t>
  </si>
  <si>
    <t>Инвестиционная программа № 219-п от 18.12.2025 ООО "ВТСК" в сфере теплоснабжения по строительству, реконструкции и модернизации систем коммунальной инфраструктуры, на территории городского поселения Вельское, Вельский муниципальный район на 2026-2032 годы</t>
  </si>
  <si>
    <t>31.12.2032</t>
  </si>
  <si>
    <t>Инвестиционная программа № 227-п от 19.12.2025 ООО "МТК" в сфере теплоснабжения по строительству котельной, на территории г Мезень, Мезенский муниципальный округ, Мезенский муниципальный округ на 2026-2030 годы</t>
  </si>
  <si>
    <t>31.12.2030</t>
  </si>
  <si>
    <t>Инвестиционная программа от 18.11.2013 ПАО "ТГК-2" в сфере теплоснабжения по строительству, реконструкции, модернизации и развитию систем теплоснабжения от котельных и тепловых сетей, на территории городского округа Архангельск на 2014-2025 годы</t>
  </si>
  <si>
    <t>6904934723</t>
  </si>
  <si>
    <t>31.12.2025</t>
  </si>
  <si>
    <t>Инвестиционная программа Главного управления ОАО "ТГК-2" по Архангельской области в сфере теплоснабжения на 2014-2021 годы</t>
  </si>
  <si>
    <t>б/н</t>
  </si>
  <si>
    <t>8295607600</t>
  </si>
  <si>
    <t>26.11.2015</t>
  </si>
  <si>
    <t>TER_NAME</t>
  </si>
  <si>
    <t>Территория 1</t>
  </si>
  <si>
    <t>Территория 2</t>
  </si>
  <si>
    <t>ID_TARIFF_NAME</t>
  </si>
  <si>
    <t>TARIFF_NAME</t>
  </si>
  <si>
    <t>VED_NAME</t>
  </si>
  <si>
    <t>4190065</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</si>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</sst>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7">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
      <sz val="11"/>
      <name val="Tahoma"/>
      <family val="2"/>
      <charset val="204"/>
    </font>
    <font>
      <sz val="11"/>
      <color theme="0"/>
      <name val="Tahoma"/>
      <family val="2"/>
      <charset val="204"/>
    </font>
  </fonts>
  <fills count="32">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67">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theme="0" tint="-0.249977111117893"/>
      </left>
      <right style="thin">
        <color rgb="FFC0C0C0"/>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109" fillId="0" borderId="0" applyFill="0" applyBorder="0">
      <alignment vertical="top"/>
    </xf>
    <xf numFmtId="0" fontId="10" fillId="0" borderId="0" applyFill="0" applyBorder="0"/>
    <xf numFmtId="0" fontId="11" fillId="0" borderId="0" applyFill="0" applyBorder="0">
      <alignment vertical="top"/>
    </xf>
  </cellStyleXfs>
  <cellXfs count="2796">
    <xf numFmtId="49" fontId="0" fillId="0" borderId="0" xfId="0" applyNumberFormat="1" applyFont="1">
      <alignment vertical="top"/>
    </xf>
    <xf numFmtId="0" fontId="10" fillId="0" borderId="0" xfId="14" applyFont="1"/>
    <xf numFmtId="49" fontId="0" fillId="0" borderId="0" xfId="13" applyNumberFormat="1" applyFont="1">
      <alignment vertical="top"/>
    </xf>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2"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3" fillId="0" borderId="0" xfId="0" applyNumberFormat="1" applyFont="1" applyAlignment="1">
      <alignment horizontal="center" vertical="center" wrapText="1"/>
    </xf>
    <xf numFmtId="0" fontId="15"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4"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6"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xf>
    <xf numFmtId="0" fontId="17" fillId="8" borderId="0" xfId="0" applyNumberFormat="1" applyFont="1" applyFill="1" applyAlignment="1">
      <alignment horizontal="center" vertical="center"/>
    </xf>
    <xf numFmtId="49" fontId="18"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9" fillId="8" borderId="0" xfId="0" applyNumberFormat="1" applyFont="1" applyFill="1" applyAlignment="1">
      <alignment vertical="center" wrapText="1"/>
    </xf>
    <xf numFmtId="0" fontId="19" fillId="0" borderId="0" xfId="0" applyNumberFormat="1" applyFont="1" applyAlignment="1">
      <alignment vertical="center" wrapText="1"/>
    </xf>
    <xf numFmtId="0" fontId="12"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0"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1"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0" fontId="2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7"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3"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4" fillId="10" borderId="6" xfId="0" applyNumberFormat="1" applyFont="1" applyFill="1" applyBorder="1" applyAlignment="1">
      <alignment horizontal="center" vertical="top"/>
    </xf>
    <xf numFmtId="49" fontId="20" fillId="10" borderId="6" xfId="0" applyNumberFormat="1" applyFont="1" applyFill="1" applyBorder="1" applyAlignment="1">
      <alignment horizontal="left" vertical="center"/>
    </xf>
    <xf numFmtId="0" fontId="21"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25" fillId="0" borderId="0" xfId="0" applyNumberFormat="1" applyFont="1" applyAlignment="1">
      <alignment horizontal="right" vertical="top"/>
    </xf>
    <xf numFmtId="49" fontId="25"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6" fillId="0" borderId="0" xfId="0" applyNumberFormat="1" applyFont="1" applyAlignment="1">
      <alignment vertical="center" wrapText="1"/>
    </xf>
    <xf numFmtId="49" fontId="5" fillId="0" borderId="7" xfId="0" applyNumberFormat="1" applyFont="1" applyBorder="1">
      <alignment vertical="top"/>
    </xf>
    <xf numFmtId="49" fontId="27" fillId="0" borderId="0" xfId="0" applyNumberFormat="1" applyFont="1">
      <alignment vertical="top"/>
    </xf>
    <xf numFmtId="0" fontId="27"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2"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8"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6"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7"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7"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7"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7" fillId="10" borderId="11" xfId="0" applyNumberFormat="1" applyFont="1" applyFill="1" applyBorder="1" applyAlignment="1">
      <alignment horizontal="left" vertical="center" wrapText="1"/>
    </xf>
    <xf numFmtId="0" fontId="16" fillId="0" borderId="0" xfId="0" applyNumberFormat="1" applyFont="1" applyAlignment="1">
      <alignment horizontal="center" vertical="center" wrapText="1"/>
    </xf>
    <xf numFmtId="49" fontId="30"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5" fillId="0" borderId="0" xfId="0" applyNumberFormat="1" applyFont="1" applyAlignment="1">
      <alignment vertical="center" wrapText="1"/>
    </xf>
    <xf numFmtId="0" fontId="31" fillId="0" borderId="0" xfId="0" applyNumberFormat="1" applyFont="1" applyAlignment="1">
      <alignment horizontal="center" vertical="center" wrapText="1"/>
    </xf>
    <xf numFmtId="49" fontId="0" fillId="8" borderId="0" xfId="0" applyNumberFormat="1" applyFont="1" applyFill="1">
      <alignment vertical="top"/>
    </xf>
    <xf numFmtId="49" fontId="32" fillId="11" borderId="0" xfId="0" applyNumberFormat="1" applyFont="1" applyFill="1">
      <alignment vertical="top"/>
    </xf>
    <xf numFmtId="49" fontId="32" fillId="0" borderId="0" xfId="0" applyNumberFormat="1" applyFont="1">
      <alignment vertical="top"/>
    </xf>
    <xf numFmtId="0" fontId="27"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0" fillId="0" borderId="2" xfId="0" applyNumberFormat="1" applyFont="1" applyBorder="1" applyAlignment="1">
      <alignment vertical="center" wrapText="1"/>
    </xf>
    <xf numFmtId="0" fontId="26"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8"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3"/>
    </xf>
    <xf numFmtId="49" fontId="24" fillId="10" borderId="4" xfId="0" applyNumberFormat="1" applyFont="1" applyFill="1" applyBorder="1" applyAlignment="1">
      <alignment horizontal="center" vertical="top"/>
    </xf>
    <xf numFmtId="0" fontId="26" fillId="0" borderId="0" xfId="0" applyNumberFormat="1" applyFont="1" applyAlignment="1">
      <alignment horizontal="right" vertical="top"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7" fillId="0" borderId="0" xfId="0" applyNumberFormat="1" applyFont="1" applyAlignment="1">
      <alignment horizontal="center" vertical="center" wrapText="1"/>
    </xf>
    <xf numFmtId="49" fontId="0" fillId="0" borderId="8" xfId="0" applyNumberFormat="1" applyFont="1" applyBorder="1">
      <alignment vertical="top"/>
    </xf>
    <xf numFmtId="0" fontId="28" fillId="0" borderId="0" xfId="0" applyNumberFormat="1" applyFont="1" applyAlignment="1">
      <alignment vertical="center"/>
    </xf>
    <xf numFmtId="0" fontId="33" fillId="0" borderId="0" xfId="0" applyNumberFormat="1" applyFont="1" applyAlignment="1">
      <alignment vertical="center"/>
    </xf>
    <xf numFmtId="49" fontId="34" fillId="12" borderId="3" xfId="0" applyNumberFormat="1" applyFont="1" applyFill="1" applyBorder="1" applyAlignment="1" applyProtection="1">
      <alignment horizontal="left" vertical="center" wrapText="1"/>
      <protection locked="0"/>
    </xf>
    <xf numFmtId="49" fontId="24"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6" fillId="0" borderId="0" xfId="0" applyNumberFormat="1" applyFont="1" applyAlignment="1">
      <alignmen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6" fillId="0" borderId="6" xfId="0" applyNumberFormat="1" applyFont="1" applyBorder="1" applyAlignment="1">
      <alignment horizontal="center" vertical="center" wrapText="1"/>
    </xf>
    <xf numFmtId="0" fontId="35" fillId="0" borderId="0" xfId="0" applyNumberFormat="1" applyFont="1" applyAlignment="1">
      <alignment vertical="center"/>
    </xf>
    <xf numFmtId="0" fontId="36"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horizontal="left" vertical="center" wrapText="1" indent="1"/>
    </xf>
    <xf numFmtId="0" fontId="27" fillId="0" borderId="0" xfId="0" applyNumberFormat="1" applyFont="1" applyAlignment="1">
      <alignment horizontal="left" vertical="center" wrapText="1" indent="1"/>
    </xf>
    <xf numFmtId="0" fontId="37" fillId="0" borderId="0" xfId="0" applyNumberFormat="1" applyFont="1" applyAlignment="1">
      <alignment horizontal="left" vertical="center" wrapText="1" indent="1"/>
    </xf>
    <xf numFmtId="0" fontId="38" fillId="0" borderId="0" xfId="0" applyNumberFormat="1" applyFont="1" applyAlignment="1">
      <alignment horizontal="left" vertical="center" indent="1"/>
    </xf>
    <xf numFmtId="0" fontId="37" fillId="0" borderId="0" xfId="0" applyNumberFormat="1" applyFont="1" applyAlignment="1">
      <alignment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41" fillId="8" borderId="0" xfId="0" applyNumberFormat="1" applyFont="1" applyFill="1" applyAlignment="1">
      <alignment horizontal="right" vertical="center" wrapText="1" indent="1"/>
    </xf>
    <xf numFmtId="0" fontId="43" fillId="8" borderId="0" xfId="0" applyNumberFormat="1" applyFont="1" applyFill="1" applyAlignment="1">
      <alignment horizontal="center" vertical="center" wrapText="1"/>
    </xf>
    <xf numFmtId="0" fontId="39" fillId="8" borderId="0" xfId="0" applyNumberFormat="1" applyFont="1" applyFill="1" applyAlignment="1">
      <alignment horizontal="center" vertical="center" wrapText="1"/>
    </xf>
    <xf numFmtId="0" fontId="41" fillId="8" borderId="0" xfId="0" applyNumberFormat="1" applyFont="1" applyFill="1" applyAlignment="1">
      <alignment horizontal="left" vertical="center" wrapText="1" indent="1"/>
    </xf>
    <xf numFmtId="0" fontId="44" fillId="0" borderId="0" xfId="0" applyNumberFormat="1" applyFont="1" applyAlignment="1">
      <alignment horizontal="left" vertical="center" wrapText="1"/>
    </xf>
    <xf numFmtId="0" fontId="44" fillId="0" borderId="0" xfId="0" applyNumberFormat="1" applyFont="1" applyAlignment="1">
      <alignment vertical="center" wrapText="1"/>
    </xf>
    <xf numFmtId="0" fontId="41" fillId="0" borderId="0" xfId="0" applyNumberFormat="1" applyFont="1" applyAlignment="1">
      <alignment vertical="center" wrapText="1"/>
    </xf>
    <xf numFmtId="0" fontId="41"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0" fillId="10" borderId="5" xfId="0" applyNumberFormat="1" applyFont="1" applyFill="1" applyBorder="1" applyAlignment="1">
      <alignment horizontal="center" vertical="center"/>
    </xf>
    <xf numFmtId="49" fontId="20" fillId="10" borderId="4" xfId="0" applyNumberFormat="1" applyFont="1" applyFill="1" applyBorder="1" applyAlignment="1">
      <alignment horizontal="left" vertical="center"/>
    </xf>
    <xf numFmtId="0" fontId="5" fillId="0" borderId="0" xfId="0" applyNumberFormat="1" applyFont="1" applyAlignment="1"/>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45" fillId="0" borderId="0" xfId="0" applyNumberFormat="1" applyFont="1" applyAlignment="1"/>
    <xf numFmtId="49" fontId="46" fillId="0" borderId="0" xfId="0" applyNumberFormat="1" applyFont="1">
      <alignment vertical="top"/>
    </xf>
    <xf numFmtId="49" fontId="47"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lignment vertical="top"/>
    </xf>
    <xf numFmtId="49" fontId="28"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8"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9" fillId="0" borderId="0" xfId="0" applyNumberFormat="1" applyFont="1" applyAlignment="1">
      <alignment vertical="center"/>
    </xf>
    <xf numFmtId="49" fontId="16"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0" fillId="10" borderId="6" xfId="0" applyNumberFormat="1" applyFont="1" applyFill="1" applyBorder="1" applyAlignment="1">
      <alignment horizontal="left" vertical="center" indent="5"/>
    </xf>
    <xf numFmtId="49" fontId="20"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6" fillId="0" borderId="0" xfId="0" applyNumberFormat="1" applyFont="1" applyAlignment="1">
      <alignment vertical="center" wrapText="1"/>
    </xf>
    <xf numFmtId="0" fontId="50"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0"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8"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9"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0" fillId="10" borderId="5" xfId="0" applyNumberFormat="1" applyFont="1" applyFill="1" applyBorder="1" applyAlignment="1">
      <alignment vertical="center" wrapText="1"/>
    </xf>
    <xf numFmtId="49" fontId="20" fillId="10" borderId="6" xfId="0" applyNumberFormat="1" applyFont="1" applyFill="1" applyBorder="1" applyAlignment="1">
      <alignment vertical="center"/>
    </xf>
    <xf numFmtId="49" fontId="20"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0" fillId="10" borderId="5"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0"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8"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1" fillId="0" borderId="5" xfId="0" applyNumberFormat="1" applyFont="1" applyBorder="1" applyAlignment="1">
      <alignment horizontal="left" vertical="center" wrapText="1"/>
    </xf>
    <xf numFmtId="0" fontId="48" fillId="0" borderId="3" xfId="0" applyNumberFormat="1" applyFont="1" applyBorder="1" applyAlignment="1">
      <alignment horizontal="left" vertical="center" wrapText="1" indent="2"/>
    </xf>
    <xf numFmtId="49" fontId="48" fillId="0" borderId="3" xfId="0" applyNumberFormat="1" applyFont="1" applyBorder="1" applyAlignment="1">
      <alignment horizontal="center" vertical="center" wrapText="1"/>
    </xf>
    <xf numFmtId="0" fontId="52"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4"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9"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28" fillId="0" borderId="0" xfId="0" applyNumberFormat="1" applyFont="1" applyAlignment="1">
      <alignment vertical="center"/>
    </xf>
    <xf numFmtId="0" fontId="53" fillId="0" borderId="0" xfId="0" applyNumberFormat="1" applyFont="1" applyAlignment="1">
      <alignment vertical="center" wrapText="1"/>
    </xf>
    <xf numFmtId="0" fontId="22"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7" fillId="0" borderId="0" xfId="0" applyNumberFormat="1" applyFont="1" applyAlignment="1">
      <alignment vertical="center" wrapText="1"/>
    </xf>
    <xf numFmtId="49" fontId="5" fillId="0" borderId="15" xfId="0" applyNumberFormat="1" applyFont="1" applyBorder="1">
      <alignment vertical="top"/>
    </xf>
    <xf numFmtId="0" fontId="28" fillId="0" borderId="15" xfId="0" applyNumberFormat="1" applyFont="1" applyBorder="1" applyAlignment="1">
      <alignment horizontal="center" vertical="center" wrapText="1"/>
    </xf>
    <xf numFmtId="0" fontId="28"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0"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8"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0"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9" fillId="0" borderId="0" xfId="0" applyNumberFormat="1" applyFont="1">
      <alignment vertical="top"/>
    </xf>
    <xf numFmtId="0" fontId="19"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8" fillId="0" borderId="0" xfId="0" applyNumberFormat="1" applyFont="1">
      <alignment vertical="top"/>
    </xf>
    <xf numFmtId="49" fontId="28"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4"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4"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7"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0"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0"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2"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0" fillId="10" borderId="18" xfId="0" applyNumberFormat="1" applyFont="1" applyFill="1" applyBorder="1" applyAlignment="1">
      <alignment horizontal="left" vertical="center" indent="2"/>
    </xf>
    <xf numFmtId="49" fontId="34"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4" fillId="10" borderId="4" xfId="0" applyNumberFormat="1" applyFont="1" applyFill="1" applyBorder="1" applyAlignment="1">
      <alignment horizontal="left" vertical="center" indent="1"/>
    </xf>
    <xf numFmtId="49" fontId="54" fillId="10" borderId="6" xfId="0" applyNumberFormat="1" applyFont="1" applyFill="1" applyBorder="1" applyAlignment="1">
      <alignment horizontal="left" vertical="center" indent="1"/>
    </xf>
    <xf numFmtId="49" fontId="30" fillId="10" borderId="5" xfId="0" applyNumberFormat="1" applyFont="1" applyFill="1" applyBorder="1" applyAlignment="1">
      <alignment horizontal="center" vertical="center"/>
    </xf>
    <xf numFmtId="49" fontId="54"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3" fillId="0" borderId="0" xfId="0" applyNumberFormat="1" applyFont="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12" fillId="0" borderId="0" xfId="0" applyNumberFormat="1" applyFont="1" applyAlignment="1">
      <alignment horizontal="center" vertical="center" wrapText="1"/>
    </xf>
    <xf numFmtId="0" fontId="0" fillId="0" borderId="0" xfId="0" applyNumberFormat="1" applyFont="1" applyAlignment="1">
      <alignment vertical="center" wrapText="1"/>
    </xf>
    <xf numFmtId="0" fontId="12"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0" fontId="27" fillId="0" borderId="0" xfId="0" applyNumberFormat="1" applyFont="1" applyAlignment="1">
      <alignment vertical="center" wrapText="1"/>
    </xf>
    <xf numFmtId="0" fontId="0" fillId="0" borderId="0" xfId="0" applyNumberFormat="1" applyFont="1" applyAlignment="1">
      <alignment vertical="center"/>
    </xf>
    <xf numFmtId="49" fontId="28" fillId="0" borderId="0" xfId="0" applyNumberFormat="1" applyFont="1">
      <alignment vertical="top"/>
    </xf>
    <xf numFmtId="0" fontId="55" fillId="0" borderId="0" xfId="0" applyNumberFormat="1" applyFont="1" applyAlignment="1">
      <alignment vertical="center" wrapText="1"/>
    </xf>
    <xf numFmtId="49" fontId="30" fillId="10" borderId="5" xfId="0" applyNumberFormat="1" applyFont="1" applyFill="1" applyBorder="1" applyAlignment="1">
      <alignment horizontal="right" vertical="center" wrapText="1"/>
    </xf>
    <xf numFmtId="49" fontId="27"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6"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0" fontId="26" fillId="0" borderId="0" xfId="0" applyNumberFormat="1" applyFont="1" applyAlignment="1">
      <alignment horizontal="center" vertical="center" wrapText="1"/>
    </xf>
    <xf numFmtId="0" fontId="25"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6" fillId="8" borderId="0" xfId="0" applyNumberFormat="1" applyFont="1" applyFill="1" applyAlignment="1">
      <alignment horizontal="center"/>
    </xf>
    <xf numFmtId="0" fontId="56" fillId="8" borderId="0" xfId="0" applyNumberFormat="1" applyFont="1" applyFill="1" applyAlignment="1"/>
    <xf numFmtId="0" fontId="57" fillId="8" borderId="0" xfId="0" applyNumberFormat="1" applyFont="1" applyFill="1" applyAlignment="1"/>
    <xf numFmtId="0" fontId="58" fillId="8" borderId="0" xfId="0" applyNumberFormat="1" applyFont="1" applyFill="1" applyAlignment="1">
      <alignment horizontal="right" vertical="center"/>
    </xf>
    <xf numFmtId="0" fontId="58"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vertical="top" wrapText="1"/>
    </xf>
    <xf numFmtId="0" fontId="5" fillId="10" borderId="5" xfId="0" applyNumberFormat="1" applyFont="1" applyFill="1" applyBorder="1" applyAlignment="1">
      <alignment horizontal="center"/>
    </xf>
    <xf numFmtId="0" fontId="54" fillId="10" borderId="6" xfId="0" applyNumberFormat="1" applyFont="1" applyFill="1" applyBorder="1" applyAlignment="1">
      <alignment horizontal="left" vertical="center"/>
    </xf>
    <xf numFmtId="0" fontId="54" fillId="10" borderId="4" xfId="0" applyNumberFormat="1" applyFont="1" applyFill="1" applyBorder="1" applyAlignment="1">
      <alignment horizontal="left" vertical="center"/>
    </xf>
    <xf numFmtId="0" fontId="59" fillId="8" borderId="0" xfId="0" applyNumberFormat="1" applyFont="1" applyFill="1" applyAlignment="1">
      <alignment vertical="center"/>
    </xf>
    <xf numFmtId="0" fontId="59"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6" fillId="8" borderId="0" xfId="0" applyNumberFormat="1" applyFont="1" applyFill="1" applyAlignment="1"/>
    <xf numFmtId="0" fontId="32" fillId="8" borderId="0" xfId="0" applyNumberFormat="1" applyFont="1" applyFill="1" applyAlignment="1"/>
    <xf numFmtId="0" fontId="42" fillId="8" borderId="0" xfId="0" applyNumberFormat="1" applyFont="1" applyFill="1" applyAlignment="1"/>
    <xf numFmtId="0" fontId="42" fillId="8" borderId="0" xfId="0" applyNumberFormat="1" applyFont="1" applyFill="1" applyAlignment="1">
      <alignment horizontal="center"/>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41" fillId="8" borderId="0" xfId="0" applyNumberFormat="1" applyFont="1" applyFill="1" applyAlignment="1">
      <alignment vertical="center" wrapText="1"/>
    </xf>
    <xf numFmtId="0" fontId="41" fillId="8" borderId="0" xfId="0" applyNumberFormat="1" applyFont="1" applyFill="1" applyAlignment="1">
      <alignment horizontal="right" vertical="center"/>
    </xf>
    <xf numFmtId="0" fontId="41" fillId="8" borderId="0" xfId="0" applyNumberFormat="1" applyFont="1" applyFill="1" applyAlignment="1">
      <alignment horizontal="right" vertical="center" wrapText="1"/>
    </xf>
    <xf numFmtId="4" fontId="41" fillId="0" borderId="0" xfId="0" applyNumberFormat="1" applyFont="1" applyAlignment="1">
      <alignment horizontal="right" vertical="center" wrapText="1"/>
    </xf>
    <xf numFmtId="0" fontId="41" fillId="0" borderId="0" xfId="0" applyNumberFormat="1" applyFont="1" applyAlignment="1">
      <alignment horizontal="left" vertical="center" wrapText="1" indent="1"/>
    </xf>
    <xf numFmtId="0" fontId="60"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wrapText="1"/>
    </xf>
    <xf numFmtId="0" fontId="45" fillId="0" borderId="0" xfId="0" applyNumberFormat="1" applyFont="1" applyAlignment="1">
      <alignment vertical="center" wrapText="1"/>
    </xf>
    <xf numFmtId="0" fontId="28"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5"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6" fillId="8" borderId="6"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60" fillId="0" borderId="0" xfId="0" applyNumberFormat="1" applyFont="1" applyAlignment="1">
      <alignment horizontal="center" vertical="center" wrapText="1"/>
    </xf>
    <xf numFmtId="0" fontId="53" fillId="0" borderId="0" xfId="0" applyNumberFormat="1" applyFont="1" applyAlignment="1">
      <alignment vertical="center" wrapText="1"/>
    </xf>
    <xf numFmtId="49" fontId="53" fillId="0" borderId="3" xfId="0" applyNumberFormat="1" applyFont="1" applyBorder="1" applyAlignment="1">
      <alignment horizontal="left" vertical="center" wrapText="1"/>
    </xf>
    <xf numFmtId="0" fontId="61" fillId="8" borderId="0" xfId="0" applyNumberFormat="1" applyFont="1" applyFill="1" applyAlignment="1">
      <alignment horizontal="center" vertical="center" wrapText="1"/>
    </xf>
    <xf numFmtId="49" fontId="53" fillId="0" borderId="8" xfId="0" applyNumberFormat="1" applyFont="1" applyBorder="1" applyAlignment="1">
      <alignment horizontal="left" vertical="center" wrapText="1"/>
    </xf>
    <xf numFmtId="0" fontId="28" fillId="0" borderId="0" xfId="0" applyNumberFormat="1" applyFont="1" applyAlignment="1">
      <alignment vertical="center"/>
    </xf>
    <xf numFmtId="0" fontId="28" fillId="8" borderId="0" xfId="0" applyNumberFormat="1" applyFont="1" applyFill="1" applyAlignment="1"/>
    <xf numFmtId="0" fontId="28" fillId="8" borderId="0" xfId="0" applyNumberFormat="1" applyFont="1" applyFill="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22"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8"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2" fillId="10" borderId="6" xfId="0" applyNumberFormat="1" applyFont="1" applyFill="1" applyBorder="1" applyAlignment="1">
      <alignment horizontal="center" vertical="center" wrapText="1"/>
    </xf>
    <xf numFmtId="0" fontId="28"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34"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3"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0" fillId="10" borderId="6" xfId="0" applyNumberFormat="1" applyFont="1" applyFill="1" applyBorder="1" applyAlignment="1">
      <alignment horizontal="center" vertical="center"/>
    </xf>
    <xf numFmtId="0" fontId="13" fillId="0" borderId="0" xfId="0" applyNumberFormat="1" applyFont="1" applyAlignment="1">
      <alignment vertical="center" wrapText="1"/>
    </xf>
    <xf numFmtId="0" fontId="12"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64" fillId="0" borderId="0" xfId="0" applyNumberFormat="1" applyFont="1" applyAlignment="1">
      <alignment vertical="center" wrapText="1"/>
    </xf>
    <xf numFmtId="49" fontId="27" fillId="0" borderId="0" xfId="0" applyNumberFormat="1" applyFont="1" applyAlignment="1">
      <alignment horizontal="center" vertical="center" wrapText="1"/>
    </xf>
    <xf numFmtId="0" fontId="27"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5" fillId="0" borderId="0" xfId="0" applyNumberFormat="1" applyFont="1" applyAlignment="1">
      <alignment vertical="center" wrapText="1"/>
    </xf>
    <xf numFmtId="0" fontId="35"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8" fillId="0" borderId="0" xfId="0" applyNumberFormat="1" applyFont="1" applyAlignment="1">
      <alignment horizontal="center" vertical="center" wrapText="1"/>
    </xf>
    <xf numFmtId="0" fontId="28" fillId="0" borderId="19" xfId="0" applyNumberFormat="1" applyFont="1" applyBorder="1" applyAlignment="1">
      <alignment horizontal="center" vertical="center" wrapText="1"/>
    </xf>
    <xf numFmtId="0" fontId="28" fillId="0" borderId="3" xfId="0" applyNumberFormat="1" applyFont="1" applyBorder="1" applyAlignment="1">
      <alignment horizontal="left" vertical="center" wrapText="1" indent="2"/>
    </xf>
    <xf numFmtId="0" fontId="28" fillId="0" borderId="3" xfId="0" applyNumberFormat="1" applyFont="1" applyBorder="1" applyAlignment="1">
      <alignment horizontal="center" vertical="center" wrapText="1"/>
    </xf>
    <xf numFmtId="0" fontId="28"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3" fillId="0" borderId="0" xfId="0" applyNumberFormat="1" applyFont="1" applyAlignment="1">
      <alignment horizontal="center" vertical="center" wrapText="1"/>
    </xf>
    <xf numFmtId="49"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2"/>
    </xf>
    <xf numFmtId="0" fontId="53" fillId="0" borderId="3" xfId="0" applyNumberFormat="1" applyFont="1" applyBorder="1" applyAlignment="1">
      <alignment horizontal="center" vertical="center" wrapText="1"/>
    </xf>
    <xf numFmtId="0" fontId="53" fillId="0" borderId="3" xfId="0" applyNumberFormat="1" applyFont="1" applyBorder="1" applyAlignment="1">
      <alignment vertical="center" wrapText="1"/>
    </xf>
    <xf numFmtId="0" fontId="66" fillId="0" borderId="0" xfId="0" applyNumberFormat="1" applyFont="1" applyAlignment="1">
      <alignment vertical="center" wrapText="1"/>
    </xf>
    <xf numFmtId="0" fontId="44" fillId="0" borderId="0" xfId="0" applyNumberFormat="1" applyFont="1" applyAlignment="1">
      <alignment vertical="center" wrapText="1"/>
    </xf>
    <xf numFmtId="0"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3"/>
    </xf>
    <xf numFmtId="4" fontId="53"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0"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0"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7" fillId="0" borderId="0" xfId="0" applyNumberFormat="1" applyFont="1" applyAlignment="1">
      <alignment vertical="center"/>
    </xf>
    <xf numFmtId="0" fontId="5" fillId="0" borderId="0" xfId="0" applyNumberFormat="1" applyFont="1" applyAlignment="1">
      <alignment vertical="center"/>
    </xf>
    <xf numFmtId="0" fontId="67" fillId="0" borderId="0" xfId="0" applyNumberFormat="1" applyFont="1" applyAlignment="1">
      <alignment vertical="center"/>
    </xf>
    <xf numFmtId="0" fontId="21" fillId="0" borderId="0" xfId="0" applyNumberFormat="1" applyFont="1" applyAlignment="1">
      <alignment vertical="center"/>
    </xf>
    <xf numFmtId="0" fontId="5" fillId="0" borderId="0" xfId="0" applyNumberFormat="1" applyFont="1" applyAlignment="1">
      <alignment vertical="center" wrapText="1"/>
    </xf>
    <xf numFmtId="0" fontId="21" fillId="0" borderId="0" xfId="0" applyNumberFormat="1" applyFont="1" applyAlignment="1">
      <alignment vertical="center"/>
    </xf>
    <xf numFmtId="0" fontId="67" fillId="0" borderId="0" xfId="0" applyNumberFormat="1" applyFont="1" applyAlignment="1">
      <alignment vertical="center"/>
    </xf>
    <xf numFmtId="0" fontId="33" fillId="0" borderId="0" xfId="0" applyNumberFormat="1" applyFont="1" applyAlignment="1">
      <alignment vertical="center"/>
    </xf>
    <xf numFmtId="0" fontId="5"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16" fillId="0" borderId="3" xfId="0" applyNumberFormat="1" applyFont="1" applyBorder="1" applyAlignment="1">
      <alignment horizontal="center" vertical="center" wrapText="1"/>
    </xf>
    <xf numFmtId="0" fontId="27"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6" fillId="0" borderId="3" xfId="0" applyNumberFormat="1" applyFont="1" applyBorder="1" applyAlignment="1">
      <alignment horizontal="left" vertical="center" wrapText="1" indent="1"/>
    </xf>
    <xf numFmtId="0" fontId="27" fillId="0" borderId="0" xfId="0" applyNumberFormat="1" applyFont="1" applyAlignment="1">
      <alignment vertical="center"/>
    </xf>
    <xf numFmtId="0" fontId="55" fillId="0" borderId="0" xfId="0" applyNumberFormat="1" applyFont="1" applyAlignment="1">
      <alignment vertical="center"/>
    </xf>
    <xf numFmtId="0" fontId="0" fillId="0" borderId="0" xfId="0" applyNumberFormat="1" applyFont="1" applyAlignment="1">
      <alignment vertical="center"/>
    </xf>
    <xf numFmtId="49" fontId="20" fillId="10" borderId="4" xfId="0" applyNumberFormat="1" applyFont="1" applyFill="1" applyBorder="1" applyAlignment="1">
      <alignment horizontal="left" vertical="center" indent="1"/>
    </xf>
    <xf numFmtId="49" fontId="30" fillId="10" borderId="4" xfId="0" applyNumberFormat="1" applyFont="1" applyFill="1" applyBorder="1" applyAlignment="1">
      <alignment horizontal="right" vertical="center" wrapText="1"/>
    </xf>
    <xf numFmtId="0" fontId="56" fillId="15" borderId="0" xfId="0" applyNumberFormat="1" applyFont="1" applyFill="1">
      <alignment vertical="top"/>
    </xf>
    <xf numFmtId="49" fontId="12" fillId="0" borderId="0" xfId="0" applyNumberFormat="1" applyFont="1" applyAlignment="1">
      <alignment horizontal="center"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0" fillId="0" borderId="0" xfId="0" applyNumberFormat="1" applyFont="1" applyAlignment="1">
      <alignment horizontal="center" vertical="center" wrapText="1"/>
    </xf>
    <xf numFmtId="0" fontId="52" fillId="0" borderId="0" xfId="0" applyNumberFormat="1" applyFont="1" applyAlignment="1">
      <alignment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49" fontId="44" fillId="0" borderId="0" xfId="0" applyNumberFormat="1" applyFont="1" applyAlignment="1">
      <alignment horizontal="center" vertical="center" wrapText="1"/>
    </xf>
    <xf numFmtId="0" fontId="44"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7" fillId="0" borderId="0" xfId="0" applyNumberFormat="1" applyFont="1">
      <alignment vertical="top"/>
    </xf>
    <xf numFmtId="0" fontId="27" fillId="0" borderId="0" xfId="0" applyNumberFormat="1" applyFont="1">
      <alignment vertical="top"/>
    </xf>
    <xf numFmtId="0" fontId="55" fillId="0" borderId="0" xfId="0" applyNumberFormat="1" applyFont="1">
      <alignment vertical="top"/>
    </xf>
    <xf numFmtId="0" fontId="68" fillId="0" borderId="0" xfId="0" applyNumberFormat="1" applyFont="1">
      <alignment vertical="top"/>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7"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49" fontId="20"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0" fontId="20"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5"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6"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4" fillId="9" borderId="5" xfId="0" applyNumberFormat="1" applyFont="1" applyFill="1" applyBorder="1" applyAlignment="1" applyProtection="1">
      <alignment horizontal="left" vertical="center" wrapText="1"/>
      <protection locked="0"/>
    </xf>
    <xf numFmtId="49" fontId="34"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7"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4" fillId="0" borderId="0" xfId="0" applyNumberFormat="1" applyFont="1" applyAlignment="1">
      <alignment vertical="center" wrapText="1"/>
    </xf>
    <xf numFmtId="0" fontId="64"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horizontal="left" vertical="center" wrapText="1" indent="1"/>
    </xf>
    <xf numFmtId="0" fontId="69" fillId="0" borderId="0" xfId="0" applyNumberFormat="1" applyFont="1" applyAlignment="1">
      <alignment vertical="center" wrapText="1"/>
    </xf>
    <xf numFmtId="0" fontId="69" fillId="8" borderId="0" xfId="0" applyNumberFormat="1" applyFont="1" applyFill="1" applyAlignment="1">
      <alignment horizontal="center" vertical="center" wrapText="1"/>
    </xf>
    <xf numFmtId="0" fontId="69"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4" fillId="10" borderId="4" xfId="0" applyNumberFormat="1" applyFont="1" applyFill="1" applyBorder="1" applyAlignment="1">
      <alignment horizontal="left" vertical="center" wrapText="1"/>
    </xf>
    <xf numFmtId="0" fontId="70" fillId="0" borderId="0" xfId="0" applyNumberFormat="1" applyFont="1" applyAlignment="1">
      <alignment vertical="center"/>
    </xf>
    <xf numFmtId="0" fontId="71" fillId="0" borderId="0" xfId="0" applyNumberFormat="1" applyFont="1" applyAlignment="1">
      <alignment vertical="center"/>
    </xf>
    <xf numFmtId="49" fontId="28" fillId="0" borderId="13" xfId="0" applyNumberFormat="1" applyFont="1" applyBorder="1">
      <alignment vertical="top"/>
    </xf>
    <xf numFmtId="49" fontId="28" fillId="0" borderId="13" xfId="0" applyNumberFormat="1" applyFont="1" applyBorder="1">
      <alignment vertical="top"/>
    </xf>
    <xf numFmtId="0" fontId="28"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2"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7" fillId="0" borderId="0" xfId="0" applyNumberFormat="1" applyFont="1" applyAlignment="1">
      <alignment horizontal="left" vertical="center" wrapText="1"/>
    </xf>
    <xf numFmtId="0" fontId="28" fillId="0" borderId="0" xfId="0" applyNumberFormat="1" applyFont="1" applyAlignment="1">
      <alignment horizontal="left" vertical="center" wrapText="1"/>
    </xf>
    <xf numFmtId="0" fontId="35"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28" fillId="0" borderId="0" xfId="0" applyNumberFormat="1" applyFont="1" applyAlignment="1">
      <alignment vertical="center" wrapText="1"/>
    </xf>
    <xf numFmtId="0" fontId="35" fillId="0" borderId="0" xfId="0" applyNumberFormat="1" applyFont="1" applyAlignment="1">
      <alignment vertical="center" wrapText="1"/>
    </xf>
    <xf numFmtId="0" fontId="12" fillId="0" borderId="0" xfId="0" applyNumberFormat="1" applyFont="1" applyAlignment="1">
      <alignment vertical="center" wrapText="1"/>
    </xf>
    <xf numFmtId="49" fontId="30"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7"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4"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0" fillId="8" borderId="0" xfId="0" applyNumberFormat="1" applyFont="1" applyFill="1" applyAlignment="1">
      <alignment vertical="center" wrapText="1"/>
    </xf>
    <xf numFmtId="0" fontId="34"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7"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0" fontId="72" fillId="0" borderId="0" xfId="0" applyNumberFormat="1" applyFont="1" applyAlignment="1">
      <alignment horizontal="left" vertical="center" wrapText="1"/>
    </xf>
    <xf numFmtId="14" fontId="72" fillId="8" borderId="0" xfId="0" applyNumberFormat="1" applyFont="1" applyFill="1" applyAlignment="1">
      <alignment horizontal="left" vertical="center" wrapText="1"/>
    </xf>
    <xf numFmtId="14" fontId="73"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14" fontId="74" fillId="0" borderId="3" xfId="0" applyNumberFormat="1" applyFont="1" applyBorder="1" applyAlignment="1">
      <alignment horizontal="left" vertical="center" wrapText="1"/>
    </xf>
    <xf numFmtId="0" fontId="28"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7"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8"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6" fillId="0" borderId="15" xfId="0" applyNumberFormat="1" applyFont="1" applyBorder="1" applyAlignment="1">
      <alignment vertical="top" wrapText="1"/>
    </xf>
    <xf numFmtId="0" fontId="16" fillId="0" borderId="0" xfId="0" applyNumberFormat="1" applyFont="1" applyAlignment="1">
      <alignment vertical="top" wrapText="1"/>
    </xf>
    <xf numFmtId="0" fontId="28" fillId="0" borderId="3"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28"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6" fillId="12" borderId="3" xfId="0" applyNumberFormat="1" applyFont="1" applyFill="1" applyBorder="1" applyAlignment="1" applyProtection="1">
      <alignment horizontal="left" vertical="center" wrapText="1" indent="1"/>
      <protection locked="0"/>
    </xf>
    <xf numFmtId="0" fontId="27"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4" fillId="9" borderId="3" xfId="0" applyNumberFormat="1" applyFont="1" applyFill="1" applyBorder="1" applyAlignment="1" applyProtection="1">
      <alignment horizontal="left" vertical="center" wrapText="1"/>
      <protection locked="0"/>
    </xf>
    <xf numFmtId="0" fontId="34"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7"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6"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2" fillId="0" borderId="8" xfId="0" applyNumberFormat="1" applyFont="1" applyBorder="1" applyAlignment="1">
      <alignment horizontal="center" vertical="center" wrapText="1"/>
    </xf>
    <xf numFmtId="49" fontId="27" fillId="0" borderId="0" xfId="0" applyNumberFormat="1" applyFont="1">
      <alignment vertical="top"/>
    </xf>
    <xf numFmtId="0" fontId="75"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6" fillId="0" borderId="0" xfId="0" applyNumberFormat="1" applyFont="1" applyAlignment="1">
      <alignment horizontal="center" vertical="top" wrapText="1"/>
    </xf>
    <xf numFmtId="49" fontId="76" fillId="0" borderId="0" xfId="0" applyNumberFormat="1" applyFont="1" applyAlignment="1">
      <alignment vertical="top" wrapText="1"/>
    </xf>
    <xf numFmtId="49" fontId="72" fillId="14" borderId="3" xfId="0" applyNumberFormat="1" applyFont="1" applyFill="1" applyBorder="1" applyAlignment="1">
      <alignment horizontal="center" vertical="top" wrapText="1"/>
    </xf>
    <xf numFmtId="49" fontId="76" fillId="0" borderId="0" xfId="0" applyNumberFormat="1" applyFont="1" applyAlignment="1">
      <alignment horizontal="left" vertical="top" wrapText="1"/>
    </xf>
    <xf numFmtId="49" fontId="76" fillId="0" borderId="3" xfId="0" applyNumberFormat="1" applyFont="1" applyBorder="1" applyAlignment="1">
      <alignment horizontal="left" vertical="top" wrapText="1"/>
    </xf>
    <xf numFmtId="0" fontId="76" fillId="0" borderId="3" xfId="0" applyNumberFormat="1" applyFont="1" applyBorder="1" applyAlignment="1">
      <alignment horizontal="left" vertical="top" wrapText="1"/>
    </xf>
    <xf numFmtId="0" fontId="76" fillId="14" borderId="3" xfId="0" applyNumberFormat="1" applyFont="1" applyFill="1" applyBorder="1" applyAlignment="1">
      <alignment horizontal="right" vertical="center" wrapText="1"/>
    </xf>
    <xf numFmtId="49" fontId="76" fillId="0" borderId="3" xfId="0" applyNumberFormat="1" applyFont="1" applyBorder="1" applyAlignment="1">
      <alignment vertical="top" wrapText="1"/>
    </xf>
    <xf numFmtId="0" fontId="76" fillId="0" borderId="8" xfId="0" applyNumberFormat="1" applyFont="1" applyBorder="1" applyAlignment="1">
      <alignment horizontal="left" vertical="top" wrapText="1"/>
    </xf>
    <xf numFmtId="0" fontId="76" fillId="0" borderId="4" xfId="0" applyNumberFormat="1" applyFont="1" applyBorder="1" applyAlignment="1">
      <alignment horizontal="left" vertical="top" wrapText="1"/>
    </xf>
    <xf numFmtId="0" fontId="76" fillId="0" borderId="3" xfId="0" applyNumberFormat="1" applyFont="1" applyBorder="1" applyAlignment="1">
      <alignment vertical="top" wrapText="1"/>
    </xf>
    <xf numFmtId="0" fontId="72" fillId="14" borderId="3" xfId="0" applyNumberFormat="1" applyFont="1" applyFill="1" applyBorder="1" applyAlignment="1">
      <alignment horizontal="center" vertical="top" wrapText="1"/>
    </xf>
    <xf numFmtId="0" fontId="76" fillId="0" borderId="0" xfId="0" applyNumberFormat="1" applyFont="1" applyAlignment="1">
      <alignment vertical="top" wrapText="1"/>
    </xf>
    <xf numFmtId="0" fontId="71" fillId="0" borderId="0" xfId="0" applyNumberFormat="1" applyFont="1" applyAlignment="1">
      <alignment vertical="center" wrapText="1"/>
    </xf>
    <xf numFmtId="0" fontId="26"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6" fillId="8" borderId="3" xfId="0" applyNumberFormat="1" applyFont="1" applyFill="1" applyBorder="1" applyAlignment="1">
      <alignment horizontal="center" vertical="center" wrapText="1"/>
    </xf>
    <xf numFmtId="49" fontId="54"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8" fillId="8" borderId="14" xfId="0" applyNumberFormat="1" applyFont="1" applyFill="1" applyBorder="1" applyAlignment="1">
      <alignment horizontal="center" vertical="center" wrapText="1"/>
    </xf>
    <xf numFmtId="0" fontId="17" fillId="8" borderId="15" xfId="0" applyNumberFormat="1" applyFont="1" applyFill="1" applyBorder="1" applyAlignment="1">
      <alignment vertical="top" wrapText="1"/>
    </xf>
    <xf numFmtId="0" fontId="17"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wrapText="1"/>
    </xf>
    <xf numFmtId="0" fontId="20" fillId="10" borderId="6" xfId="0" applyNumberFormat="1" applyFont="1" applyFill="1" applyBorder="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wrapText="1"/>
    </xf>
    <xf numFmtId="49" fontId="27" fillId="0" borderId="0" xfId="0" applyNumberFormat="1" applyFont="1" applyAlignment="1">
      <alignment vertical="center" wrapText="1"/>
    </xf>
    <xf numFmtId="49" fontId="27" fillId="0" borderId="0" xfId="0" applyNumberFormat="1" applyFont="1">
      <alignment vertical="top"/>
    </xf>
    <xf numFmtId="0" fontId="69" fillId="0" borderId="0" xfId="0" applyNumberFormat="1" applyFont="1" applyAlignment="1">
      <alignment vertical="center" wrapText="1"/>
    </xf>
    <xf numFmtId="0" fontId="77" fillId="0" borderId="0" xfId="0" applyNumberFormat="1" applyFont="1" applyAlignment="1">
      <alignment vertical="center" wrapText="1"/>
    </xf>
    <xf numFmtId="0" fontId="27" fillId="0" borderId="0" xfId="0" applyNumberFormat="1" applyFont="1" applyAlignment="1">
      <alignment vertical="center" wrapText="1"/>
    </xf>
    <xf numFmtId="0" fontId="69" fillId="0" borderId="0" xfId="0" applyNumberFormat="1" applyFont="1" applyAlignment="1">
      <alignment horizontal="center" vertical="center" wrapText="1"/>
    </xf>
    <xf numFmtId="0" fontId="27"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8" fillId="8" borderId="0" xfId="0" applyNumberFormat="1" applyFont="1" applyFill="1" applyAlignment="1">
      <alignment horizontal="right" vertical="center"/>
    </xf>
    <xf numFmtId="49" fontId="76" fillId="0" borderId="4" xfId="0" applyNumberFormat="1" applyFont="1" applyBorder="1" applyAlignment="1">
      <alignment horizontal="left" vertical="top" wrapText="1"/>
    </xf>
    <xf numFmtId="49" fontId="76" fillId="0" borderId="5" xfId="0" applyNumberFormat="1" applyFont="1" applyBorder="1" applyAlignment="1">
      <alignment horizontal="left" vertical="top" wrapText="1"/>
    </xf>
    <xf numFmtId="0" fontId="76" fillId="0" borderId="8" xfId="0" applyNumberFormat="1" applyFont="1" applyBorder="1" applyAlignment="1">
      <alignment vertical="top" wrapText="1"/>
    </xf>
    <xf numFmtId="0" fontId="76" fillId="0" borderId="27" xfId="0" applyNumberFormat="1" applyFont="1" applyBorder="1" applyAlignment="1">
      <alignment horizontal="left" vertical="top" wrapText="1"/>
    </xf>
    <xf numFmtId="49" fontId="76" fillId="0" borderId="21" xfId="0" applyNumberFormat="1" applyFont="1" applyBorder="1" applyAlignment="1">
      <alignment horizontal="left" vertical="top"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20"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9"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7"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49" fontId="25" fillId="0" borderId="0" xfId="0" applyNumberFormat="1" applyFont="1" applyAlignment="1">
      <alignment vertical="center"/>
    </xf>
    <xf numFmtId="49" fontId="80"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wrapText="1"/>
    </xf>
    <xf numFmtId="49" fontId="80" fillId="0" borderId="0" xfId="0" applyNumberFormat="1" applyFont="1" applyAlignment="1">
      <alignment vertical="center" wrapText="1"/>
    </xf>
    <xf numFmtId="49" fontId="25" fillId="0" borderId="0" xfId="0" applyNumberFormat="1" applyFont="1" applyAlignment="1">
      <alignment vertical="center" wrapText="1"/>
    </xf>
    <xf numFmtId="49" fontId="25" fillId="0" borderId="0" xfId="0" applyNumberFormat="1" applyFont="1">
      <alignment vertical="top"/>
    </xf>
    <xf numFmtId="49" fontId="25" fillId="0" borderId="0" xfId="0" applyNumberFormat="1" applyFont="1" applyAlignment="1">
      <alignment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80" fillId="0" borderId="0" xfId="0" applyNumberFormat="1" applyFont="1" applyAlignment="1">
      <alignment vertical="center" wrapText="1"/>
    </xf>
    <xf numFmtId="49" fontId="25" fillId="8" borderId="0" xfId="0" applyNumberFormat="1" applyFont="1" applyFill="1" applyAlignment="1">
      <alignment vertical="center" wrapText="1"/>
    </xf>
    <xf numFmtId="49" fontId="25" fillId="0" borderId="0" xfId="0" applyNumberFormat="1" applyFont="1">
      <alignment vertical="top"/>
    </xf>
    <xf numFmtId="49" fontId="25" fillId="8" borderId="0" xfId="0" applyNumberFormat="1" applyFont="1" applyFill="1" applyAlignment="1">
      <alignment vertical="center"/>
    </xf>
    <xf numFmtId="49" fontId="80" fillId="0" borderId="0" xfId="0" applyNumberFormat="1" applyFont="1" applyAlignment="1">
      <alignment vertical="center"/>
    </xf>
    <xf numFmtId="49" fontId="25" fillId="0" borderId="0" xfId="0" applyNumberFormat="1" applyFont="1">
      <alignment vertical="top"/>
    </xf>
    <xf numFmtId="4" fontId="25" fillId="8" borderId="0" xfId="0" applyNumberFormat="1" applyFont="1" applyFill="1" applyAlignment="1">
      <alignment vertical="center"/>
    </xf>
    <xf numFmtId="49" fontId="1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8"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0" fontId="17" fillId="0" borderId="0" xfId="0" applyNumberFormat="1" applyFont="1" applyAlignment="1">
      <alignment horizontal="center" vertical="center" wrapText="1"/>
    </xf>
    <xf numFmtId="49" fontId="72" fillId="0" borderId="3" xfId="0" applyNumberFormat="1" applyFont="1" applyBorder="1" applyAlignment="1">
      <alignment horizontal="center" vertical="center" wrapText="1"/>
    </xf>
    <xf numFmtId="0" fontId="72" fillId="0" borderId="3" xfId="0" applyNumberFormat="1" applyFont="1" applyBorder="1" applyAlignment="1">
      <alignment horizontal="center" vertical="center" wrapText="1"/>
    </xf>
    <xf numFmtId="49" fontId="72" fillId="0" borderId="8" xfId="0" applyNumberFormat="1" applyFont="1" applyBorder="1" applyAlignment="1">
      <alignment horizontal="center" vertical="center" wrapText="1"/>
    </xf>
    <xf numFmtId="49" fontId="72" fillId="0" borderId="14" xfId="0" applyNumberFormat="1" applyFont="1" applyBorder="1" applyAlignment="1">
      <alignment horizontal="center" vertical="center" wrapText="1"/>
    </xf>
    <xf numFmtId="0" fontId="72" fillId="0" borderId="8" xfId="0" applyNumberFormat="1" applyFont="1" applyBorder="1" applyAlignment="1">
      <alignment horizontal="center" vertical="center" wrapText="1"/>
    </xf>
    <xf numFmtId="49" fontId="76" fillId="0" borderId="13" xfId="0" applyNumberFormat="1" applyFont="1" applyBorder="1" applyAlignment="1">
      <alignment horizontal="center" vertical="top" wrapText="1"/>
    </xf>
    <xf numFmtId="49" fontId="76" fillId="0" borderId="27" xfId="0" applyNumberFormat="1" applyFont="1" applyBorder="1" applyAlignment="1">
      <alignment horizontal="left" vertical="top" wrapText="1"/>
    </xf>
    <xf numFmtId="0" fontId="72" fillId="0" borderId="3" xfId="0" applyNumberFormat="1" applyFont="1" applyBorder="1" applyAlignment="1">
      <alignment vertical="center" wrapText="1"/>
    </xf>
    <xf numFmtId="0" fontId="72" fillId="0" borderId="8" xfId="0" applyNumberFormat="1" applyFont="1" applyBorder="1" applyAlignment="1">
      <alignment vertical="center" wrapText="1"/>
    </xf>
    <xf numFmtId="0" fontId="72" fillId="0" borderId="14" xfId="0" applyNumberFormat="1" applyFont="1" applyBorder="1" applyAlignment="1">
      <alignment vertical="center" wrapText="1"/>
    </xf>
    <xf numFmtId="49" fontId="72"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0" fontId="53"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2" fillId="14" borderId="3" xfId="0" applyNumberFormat="1" applyFont="1" applyFill="1" applyBorder="1" applyAlignment="1">
      <alignment horizontal="center" vertical="top"/>
    </xf>
    <xf numFmtId="49" fontId="76" fillId="0" borderId="0" xfId="0" applyNumberFormat="1" applyFont="1">
      <alignment vertical="top"/>
    </xf>
    <xf numFmtId="49" fontId="72" fillId="0" borderId="3" xfId="0" applyNumberFormat="1" applyFont="1" applyBorder="1" applyAlignment="1">
      <alignment horizontal="center" vertical="top" wrapText="1"/>
    </xf>
    <xf numFmtId="49" fontId="72" fillId="0" borderId="3" xfId="0" applyNumberFormat="1" applyFont="1" applyBorder="1" applyAlignment="1">
      <alignment vertical="top" wrapText="1"/>
    </xf>
    <xf numFmtId="0" fontId="72" fillId="0" borderId="3" xfId="0" applyNumberFormat="1" applyFont="1" applyBorder="1" applyAlignment="1">
      <alignment vertical="top" wrapText="1"/>
    </xf>
    <xf numFmtId="49" fontId="72" fillId="0" borderId="3" xfId="0" applyNumberFormat="1" applyFont="1" applyBorder="1">
      <alignment vertical="top"/>
    </xf>
    <xf numFmtId="49" fontId="76" fillId="0" borderId="3" xfId="0" applyNumberFormat="1" applyFont="1" applyBorder="1">
      <alignment vertical="top"/>
    </xf>
    <xf numFmtId="49" fontId="72" fillId="0" borderId="0" xfId="0" applyNumberFormat="1" applyFont="1" applyAlignment="1">
      <alignment horizontal="center" vertical="center" wrapText="1"/>
    </xf>
    <xf numFmtId="49" fontId="72" fillId="0" borderId="0" xfId="0" applyNumberFormat="1" applyFont="1" applyAlignment="1">
      <alignment horizontal="left" vertical="center" wrapText="1"/>
    </xf>
    <xf numFmtId="49" fontId="72" fillId="19" borderId="0" xfId="0" applyNumberFormat="1" applyFont="1" applyFill="1" applyAlignment="1">
      <alignment horizontal="center" vertical="center" wrapText="1"/>
    </xf>
    <xf numFmtId="0" fontId="72" fillId="0" borderId="0" xfId="0" applyNumberFormat="1" applyFont="1" applyAlignment="1">
      <alignment vertical="center" wrapText="1"/>
    </xf>
    <xf numFmtId="0" fontId="28" fillId="0" borderId="3" xfId="0" applyNumberFormat="1" applyFont="1" applyBorder="1" applyAlignment="1">
      <alignment horizontal="left" vertical="center" wrapText="1" indent="3"/>
    </xf>
    <xf numFmtId="49" fontId="28" fillId="0" borderId="3" xfId="0" applyNumberFormat="1" applyFont="1" applyBorder="1" applyAlignment="1">
      <alignment vertical="center" wrapText="1"/>
    </xf>
    <xf numFmtId="0" fontId="28" fillId="0" borderId="8" xfId="0" applyNumberFormat="1" applyFont="1" applyBorder="1" applyAlignment="1">
      <alignment vertical="top" wrapText="1"/>
    </xf>
    <xf numFmtId="0" fontId="28" fillId="0" borderId="27" xfId="0" applyNumberFormat="1" applyFont="1" applyBorder="1" applyAlignment="1">
      <alignment horizontal="left" vertical="center" wrapText="1" indent="1"/>
    </xf>
    <xf numFmtId="0" fontId="28" fillId="0" borderId="27" xfId="0" applyNumberFormat="1" applyFont="1" applyBorder="1" applyAlignment="1">
      <alignment horizontal="center" vertical="center" wrapText="1"/>
    </xf>
    <xf numFmtId="0" fontId="28" fillId="0" borderId="8" xfId="0" applyNumberFormat="1" applyFont="1" applyBorder="1" applyAlignment="1">
      <alignment vertical="center" wrapText="1"/>
    </xf>
    <xf numFmtId="0" fontId="28" fillId="0" borderId="14" xfId="0" applyNumberFormat="1" applyFont="1" applyBorder="1" applyAlignment="1">
      <alignment horizontal="left" vertical="center" wrapText="1" indent="1"/>
    </xf>
    <xf numFmtId="0" fontId="28" fillId="0" borderId="8" xfId="0" applyNumberFormat="1" applyFont="1" applyBorder="1" applyAlignment="1">
      <alignment horizontal="left" vertical="center" wrapText="1" indent="1"/>
    </xf>
    <xf numFmtId="49" fontId="76" fillId="14" borderId="3" xfId="0" applyNumberFormat="1" applyFont="1" applyFill="1" applyBorder="1" applyAlignment="1">
      <alignment horizontal="center" vertical="top" wrapText="1"/>
    </xf>
    <xf numFmtId="49" fontId="76" fillId="14" borderId="3" xfId="0" applyNumberFormat="1" applyFont="1" applyFill="1" applyBorder="1" applyAlignment="1">
      <alignment horizontal="left" vertical="top" wrapText="1"/>
    </xf>
    <xf numFmtId="49" fontId="76" fillId="14" borderId="0" xfId="0" applyNumberFormat="1" applyFont="1" applyFill="1" applyAlignment="1">
      <alignment horizontal="left" vertical="top" wrapText="1"/>
    </xf>
    <xf numFmtId="0" fontId="72"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2" fillId="0" borderId="5" xfId="0" applyNumberFormat="1" applyFont="1" applyBorder="1" applyAlignment="1">
      <alignment horizontal="center" vertical="center"/>
    </xf>
    <xf numFmtId="49" fontId="28" fillId="8" borderId="3" xfId="0" applyNumberFormat="1" applyFont="1" applyFill="1" applyBorder="1" applyAlignment="1">
      <alignment horizontal="center" vertical="center"/>
    </xf>
    <xf numFmtId="0" fontId="28" fillId="8" borderId="3" xfId="0" applyNumberFormat="1" applyFont="1" applyFill="1" applyBorder="1" applyAlignment="1">
      <alignment horizontal="left" vertical="center" wrapText="1" indent="1"/>
    </xf>
    <xf numFmtId="0" fontId="28" fillId="8" borderId="3" xfId="0" applyNumberFormat="1" applyFont="1" applyFill="1" applyBorder="1" applyAlignment="1">
      <alignment vertical="center" wrapText="1"/>
    </xf>
    <xf numFmtId="49" fontId="28" fillId="0" borderId="3" xfId="0" applyNumberFormat="1" applyFont="1" applyBorder="1" applyAlignment="1">
      <alignment horizontal="center" vertical="center"/>
    </xf>
    <xf numFmtId="0" fontId="28" fillId="0" borderId="3" xfId="0" applyNumberFormat="1" applyFont="1" applyBorder="1" applyAlignment="1">
      <alignment horizontal="left" vertical="center" wrapText="1" inden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0" fontId="28" fillId="0" borderId="3" xfId="0" applyNumberFormat="1" applyFont="1" applyBorder="1" applyAlignment="1">
      <alignment horizontal="center" vertical="center" wrapText="1"/>
    </xf>
    <xf numFmtId="0" fontId="28" fillId="8" borderId="3" xfId="0" applyNumberFormat="1" applyFont="1" applyFill="1" applyBorder="1" applyAlignment="1">
      <alignment horizontal="left" vertical="center" wrapText="1" indent="2"/>
    </xf>
    <xf numFmtId="49" fontId="28" fillId="0" borderId="3" xfId="0" applyNumberFormat="1" applyFont="1" applyBorder="1" applyAlignment="1">
      <alignment horizontal="left" vertical="center" wrapText="1"/>
    </xf>
    <xf numFmtId="49" fontId="28"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1" fillId="0" borderId="0" xfId="0" applyNumberFormat="1" applyFont="1" applyAlignment="1">
      <alignment horizontal="center" vertical="center" wrapText="1"/>
    </xf>
    <xf numFmtId="0" fontId="8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28" fillId="0" borderId="18" xfId="0" applyNumberFormat="1" applyFont="1" applyBorder="1" applyAlignment="1">
      <alignment vertical="center" wrapText="1"/>
    </xf>
    <xf numFmtId="49" fontId="34" fillId="0" borderId="5" xfId="0" applyNumberFormat="1" applyFont="1" applyBorder="1" applyAlignment="1">
      <alignment horizontal="left" vertical="center" wrapText="1"/>
    </xf>
    <xf numFmtId="49" fontId="34" fillId="0" borderId="6"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4" fillId="0" borderId="28" xfId="0" applyNumberFormat="1" applyFont="1" applyBorder="1" applyAlignment="1">
      <alignment horizontal="left" vertical="center" wrapText="1"/>
    </xf>
    <xf numFmtId="49" fontId="34"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8" fillId="0" borderId="0" xfId="0" applyNumberFormat="1" applyFont="1" applyAlignment="1">
      <alignment horizontal="center" vertical="top"/>
    </xf>
    <xf numFmtId="49" fontId="28" fillId="0" borderId="0" xfId="0" applyNumberFormat="1" applyFont="1">
      <alignment vertical="top"/>
    </xf>
    <xf numFmtId="0" fontId="28" fillId="0" borderId="14" xfId="0" applyNumberFormat="1" applyFont="1" applyBorder="1" applyAlignment="1">
      <alignment vertical="center" wrapText="1"/>
    </xf>
    <xf numFmtId="4" fontId="28" fillId="0" borderId="3" xfId="0" applyNumberFormat="1" applyFont="1" applyBorder="1" applyAlignment="1">
      <alignment horizontal="right" vertical="center" wrapText="1"/>
    </xf>
    <xf numFmtId="2" fontId="28" fillId="0" borderId="14" xfId="0" applyNumberFormat="1" applyFont="1" applyBorder="1" applyAlignment="1">
      <alignment horizontal="center" vertical="center" wrapText="1"/>
    </xf>
    <xf numFmtId="0" fontId="28" fillId="0" borderId="3" xfId="0" applyNumberFormat="1" applyFont="1" applyBorder="1" applyAlignment="1">
      <alignment horizontal="left" vertical="center" wrapText="1"/>
    </xf>
    <xf numFmtId="49" fontId="2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1"/>
    </xf>
    <xf numFmtId="49" fontId="28" fillId="0" borderId="6" xfId="0" applyNumberFormat="1" applyFont="1" applyBorder="1" applyAlignment="1">
      <alignment horizontal="left" vertical="center"/>
    </xf>
    <xf numFmtId="0" fontId="28" fillId="0" borderId="3" xfId="0" applyNumberFormat="1" applyFont="1" applyBorder="1" applyAlignment="1">
      <alignment horizontal="left" vertical="center" indent="1"/>
    </xf>
    <xf numFmtId="49" fontId="20"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42"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4"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0" fillId="10" borderId="33" xfId="0" applyNumberFormat="1" applyFont="1" applyFill="1" applyBorder="1" applyAlignment="1">
      <alignment horizontal="right" vertical="center" wrapText="1"/>
    </xf>
    <xf numFmtId="49" fontId="30" fillId="10" borderId="34" xfId="0" applyNumberFormat="1" applyFont="1" applyFill="1" applyBorder="1" applyAlignment="1">
      <alignment horizontal="right" vertical="center" wrapText="1"/>
    </xf>
    <xf numFmtId="49" fontId="25" fillId="0" borderId="0" xfId="0" applyNumberFormat="1" applyFont="1">
      <alignment vertical="top"/>
    </xf>
    <xf numFmtId="49" fontId="25" fillId="0" borderId="0" xfId="0" applyNumberFormat="1" applyFont="1" applyAlignment="1">
      <alignment vertical="center" wrapText="1"/>
    </xf>
    <xf numFmtId="0" fontId="25" fillId="0" borderId="0" xfId="0" applyNumberFormat="1" applyFont="1" applyAlignment="1">
      <alignment vertical="center" wrapText="1"/>
    </xf>
    <xf numFmtId="49" fontId="75"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7" fillId="20" borderId="3" xfId="0" applyNumberFormat="1" applyFont="1" applyFill="1" applyBorder="1" applyAlignment="1">
      <alignment horizontal="center" vertical="center"/>
    </xf>
    <xf numFmtId="49" fontId="27"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3"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4" fillId="0" borderId="38" xfId="0" applyNumberFormat="1" applyFont="1" applyBorder="1" applyAlignment="1">
      <alignment horizontal="left" vertical="center" indent="1"/>
    </xf>
    <xf numFmtId="0" fontId="84" fillId="0" borderId="39" xfId="0" applyNumberFormat="1" applyFont="1" applyBorder="1" applyAlignment="1">
      <alignment horizontal="left" vertical="center" indent="1"/>
    </xf>
    <xf numFmtId="0" fontId="84"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49" fontId="79"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49" fontId="27"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85" fillId="0" borderId="7" xfId="0" applyNumberFormat="1" applyFont="1" applyBorder="1">
      <alignment vertical="top"/>
    </xf>
    <xf numFmtId="0" fontId="0" fillId="0" borderId="0" xfId="0" applyNumberFormat="1" applyFont="1">
      <alignment vertical="top"/>
    </xf>
    <xf numFmtId="0" fontId="27" fillId="0" borderId="0" xfId="0" applyNumberFormat="1" applyFont="1" applyAlignment="1">
      <alignment vertical="center" wrapText="1"/>
    </xf>
    <xf numFmtId="49" fontId="34"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4"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0"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6" fillId="10" borderId="5" xfId="0" applyNumberFormat="1" applyFont="1" applyFill="1" applyBorder="1" applyAlignment="1">
      <alignment horizontal="left" vertical="center" indent="1"/>
    </xf>
    <xf numFmtId="49" fontId="86" fillId="10" borderId="6" xfId="0" applyNumberFormat="1" applyFont="1" applyFill="1" applyBorder="1" applyAlignment="1">
      <alignment horizontal="left" vertical="center" indent="1"/>
    </xf>
    <xf numFmtId="49" fontId="75" fillId="10" borderId="34" xfId="0" applyNumberFormat="1" applyFont="1" applyFill="1" applyBorder="1" applyAlignment="1">
      <alignment horizontal="center" vertical="center"/>
    </xf>
    <xf numFmtId="49" fontId="86" fillId="10" borderId="34" xfId="0" applyNumberFormat="1" applyFont="1" applyFill="1" applyBorder="1" applyAlignment="1">
      <alignment horizontal="left" vertical="center" indent="1"/>
    </xf>
    <xf numFmtId="0" fontId="25" fillId="13" borderId="3" xfId="0" applyNumberFormat="1" applyFont="1" applyFill="1" applyBorder="1" applyAlignment="1">
      <alignment horizontal="left" vertical="center" wrapText="1" indent="1"/>
    </xf>
    <xf numFmtId="49" fontId="25" fillId="10" borderId="6" xfId="0" applyNumberFormat="1" applyFont="1" applyFill="1" applyBorder="1" applyAlignment="1">
      <alignment vertical="top" wrapText="1"/>
    </xf>
    <xf numFmtId="49" fontId="25" fillId="10" borderId="4" xfId="0" applyNumberFormat="1" applyFont="1" applyFill="1" applyBorder="1" applyAlignment="1">
      <alignment vertical="top" wrapText="1"/>
    </xf>
    <xf numFmtId="49" fontId="25" fillId="10" borderId="43" xfId="0" applyNumberFormat="1" applyFont="1" applyFill="1" applyBorder="1" applyAlignment="1">
      <alignment vertical="top" wrapText="1"/>
    </xf>
    <xf numFmtId="49" fontId="86"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xf>
    <xf numFmtId="49" fontId="16" fillId="14" borderId="3" xfId="0" applyNumberFormat="1" applyFont="1" applyFill="1" applyBorder="1" applyAlignment="1">
      <alignment horizontal="center" vertical="center"/>
    </xf>
    <xf numFmtId="0" fontId="16" fillId="0" borderId="3"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5" fillId="0" borderId="0" xfId="0" applyNumberFormat="1" applyFont="1" applyAlignment="1">
      <alignment vertical="center"/>
    </xf>
    <xf numFmtId="49" fontId="27"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0" fillId="10" borderId="47"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8" fillId="0" borderId="0" xfId="0" applyNumberFormat="1" applyFont="1">
      <alignment vertical="top"/>
    </xf>
    <xf numFmtId="0" fontId="28"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0"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6"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8" fillId="8" borderId="10" xfId="0" applyNumberFormat="1" applyFont="1" applyFill="1" applyBorder="1" applyAlignment="1">
      <alignment horizontal="center" vertical="center" wrapText="1"/>
    </xf>
    <xf numFmtId="49" fontId="53" fillId="0" borderId="0" xfId="0" applyNumberFormat="1" applyFont="1" applyAlignment="1">
      <alignment vertical="center" wrapText="1"/>
    </xf>
    <xf numFmtId="0" fontId="87" fillId="8" borderId="0" xfId="0" applyNumberFormat="1" applyFont="1" applyFill="1" applyAlignment="1">
      <alignment vertical="center" wrapText="1"/>
    </xf>
    <xf numFmtId="0" fontId="5" fillId="0" borderId="0" xfId="0" applyNumberFormat="1" applyFont="1" applyAlignment="1">
      <alignment vertical="center"/>
    </xf>
    <xf numFmtId="49" fontId="28"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8"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8" fillId="8" borderId="0" xfId="0" applyNumberFormat="1" applyFont="1" applyFill="1" applyAlignment="1">
      <alignment vertical="center" wrapText="1"/>
    </xf>
    <xf numFmtId="49" fontId="61" fillId="8" borderId="10" xfId="0" applyNumberFormat="1" applyFont="1" applyFill="1" applyBorder="1" applyAlignment="1">
      <alignment horizontal="center" vertical="center" wrapText="1"/>
    </xf>
    <xf numFmtId="0" fontId="61"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5" fillId="0" borderId="3" xfId="0" applyNumberFormat="1" applyFont="1" applyBorder="1" applyAlignment="1">
      <alignment vertical="top" wrapText="1"/>
    </xf>
    <xf numFmtId="0" fontId="5" fillId="0" borderId="0" xfId="0" applyNumberFormat="1" applyFont="1" applyAlignment="1">
      <alignment vertical="center"/>
    </xf>
    <xf numFmtId="0" fontId="89"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0" fillId="10" borderId="6" xfId="0" applyNumberFormat="1" applyFont="1" applyFill="1" applyBorder="1" applyAlignment="1">
      <alignment horizontal="left" vertical="center" indent="3"/>
    </xf>
    <xf numFmtId="49" fontId="53" fillId="10" borderId="6" xfId="0" applyNumberFormat="1" applyFont="1" applyFill="1" applyBorder="1" applyAlignment="1">
      <alignment horizontal="center" vertical="center" wrapText="1"/>
    </xf>
    <xf numFmtId="49" fontId="48" fillId="10" borderId="6" xfId="0" applyNumberFormat="1" applyFont="1" applyFill="1" applyBorder="1" applyAlignment="1">
      <alignment horizontal="center" vertical="center" wrapText="1"/>
    </xf>
    <xf numFmtId="49" fontId="48" fillId="10" borderId="4" xfId="0" applyNumberFormat="1" applyFont="1" applyFill="1" applyBorder="1" applyAlignment="1">
      <alignment horizontal="center" vertical="center" wrapText="1"/>
    </xf>
    <xf numFmtId="49" fontId="90" fillId="10" borderId="6" xfId="0" applyNumberFormat="1" applyFont="1" applyFill="1" applyBorder="1" applyAlignment="1">
      <alignment horizontal="left" vertical="center" indent="2"/>
    </xf>
    <xf numFmtId="49" fontId="90" fillId="10" borderId="6" xfId="0" applyNumberFormat="1" applyFont="1" applyFill="1" applyBorder="1" applyAlignment="1">
      <alignment horizontal="left" vertical="center" indent="1"/>
    </xf>
    <xf numFmtId="49" fontId="9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1" fillId="8" borderId="10" xfId="0" applyNumberFormat="1" applyFont="1" applyFill="1" applyBorder="1" applyAlignment="1">
      <alignment horizontal="left" vertical="center" wrapText="1"/>
    </xf>
    <xf numFmtId="49" fontId="54" fillId="10" borderId="5" xfId="0" applyNumberFormat="1" applyFont="1" applyFill="1" applyBorder="1" applyAlignment="1">
      <alignment horizontal="left" vertical="center"/>
    </xf>
    <xf numFmtId="49" fontId="82" fillId="10" borderId="5" xfId="0" applyNumberFormat="1" applyFont="1" applyFill="1" applyBorder="1" applyAlignment="1">
      <alignment horizontal="left" vertical="center"/>
    </xf>
    <xf numFmtId="49" fontId="48"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8"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1"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5"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21" xfId="0" applyNumberFormat="1" applyFont="1" applyBorder="1" applyAlignment="1">
      <alignment horizontal="left" vertical="center"/>
    </xf>
    <xf numFmtId="0" fontId="20"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0"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5"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1"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wrapText="1"/>
    </xf>
    <xf numFmtId="49" fontId="28" fillId="0" borderId="0" xfId="0" applyNumberFormat="1" applyFont="1">
      <alignment vertical="top"/>
    </xf>
    <xf numFmtId="49" fontId="88" fillId="0" borderId="0" xfId="0" applyNumberFormat="1" applyFont="1">
      <alignment vertical="top"/>
    </xf>
    <xf numFmtId="49" fontId="78" fillId="0" borderId="10" xfId="0" applyNumberFormat="1" applyFont="1" applyBorder="1" applyAlignment="1">
      <alignment horizontal="left" vertical="center"/>
    </xf>
    <xf numFmtId="49" fontId="28" fillId="0" borderId="10" xfId="0" applyNumberFormat="1" applyFont="1" applyBorder="1" applyAlignment="1">
      <alignment horizontal="left" vertical="center" indent="3"/>
    </xf>
    <xf numFmtId="49" fontId="28" fillId="0" borderId="10" xfId="0" applyNumberFormat="1" applyFont="1" applyBorder="1" applyAlignment="1">
      <alignment horizontal="center" vertical="center" wrapText="1"/>
    </xf>
    <xf numFmtId="49" fontId="28" fillId="0" borderId="0" xfId="0" applyNumberFormat="1" applyFont="1" applyAlignment="1">
      <alignment horizontal="left" vertical="center"/>
    </xf>
    <xf numFmtId="49" fontId="78" fillId="0" borderId="0" xfId="0" applyNumberFormat="1" applyFont="1" applyAlignment="1">
      <alignment horizontal="left" vertical="center"/>
    </xf>
    <xf numFmtId="49" fontId="28" fillId="0" borderId="0" xfId="0" applyNumberFormat="1" applyFont="1" applyAlignment="1">
      <alignment horizontal="left" vertical="center" indent="2"/>
    </xf>
    <xf numFmtId="49" fontId="28" fillId="0" borderId="0" xfId="0" applyNumberFormat="1" applyFont="1" applyAlignment="1">
      <alignment horizontal="center" vertical="center" wrapText="1"/>
    </xf>
    <xf numFmtId="49" fontId="28"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1"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8" fillId="0" borderId="0" xfId="0" applyNumberFormat="1" applyFont="1" applyAlignment="1">
      <alignment horizontal="left" vertical="center" indent="1"/>
    </xf>
    <xf numFmtId="49" fontId="88" fillId="0" borderId="0" xfId="0" applyNumberFormat="1" applyFont="1">
      <alignment vertical="top"/>
    </xf>
    <xf numFmtId="49" fontId="5" fillId="0" borderId="3" xfId="0" applyNumberFormat="1" applyFont="1" applyBorder="1" applyAlignment="1">
      <alignment vertical="center" wrapText="1"/>
    </xf>
    <xf numFmtId="0" fontId="28"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7" fillId="0" borderId="3" xfId="0" applyNumberFormat="1" applyFont="1" applyBorder="1" applyAlignment="1">
      <alignment horizontal="right" vertical="center" wrapText="1"/>
    </xf>
    <xf numFmtId="166" fontId="27" fillId="0" borderId="3" xfId="0" applyNumberFormat="1" applyFont="1" applyBorder="1" applyAlignment="1">
      <alignment horizontal="right" vertical="center" wrapText="1"/>
    </xf>
    <xf numFmtId="49" fontId="27" fillId="0" borderId="0" xfId="0" applyNumberFormat="1" applyFont="1" applyAlignment="1">
      <alignment vertical="center" wrapText="1"/>
    </xf>
    <xf numFmtId="0" fontId="27" fillId="0" borderId="0" xfId="0" applyNumberFormat="1" applyFont="1" applyAlignment="1">
      <alignment horizontal="left" vertical="center" indent="1"/>
    </xf>
    <xf numFmtId="0" fontId="27" fillId="0" borderId="0" xfId="0" applyNumberFormat="1" applyFont="1" applyAlignment="1">
      <alignment horizontal="center" vertical="center"/>
    </xf>
    <xf numFmtId="0" fontId="27" fillId="0" borderId="0" xfId="0" applyNumberFormat="1" applyFont="1" applyAlignment="1">
      <alignment horizontal="left" vertical="center" wrapText="1"/>
    </xf>
    <xf numFmtId="0" fontId="27" fillId="0" borderId="0" xfId="0" applyNumberFormat="1" applyFont="1" applyAlignment="1">
      <alignment vertical="center" wrapText="1"/>
    </xf>
    <xf numFmtId="49" fontId="27" fillId="0" borderId="3" xfId="0" applyNumberFormat="1" applyFont="1" applyBorder="1" applyAlignment="1">
      <alignment vertical="center" wrapText="1"/>
    </xf>
    <xf numFmtId="0" fontId="27" fillId="0" borderId="0" xfId="0" applyNumberFormat="1" applyFont="1" applyAlignment="1">
      <alignment vertical="center"/>
    </xf>
    <xf numFmtId="0" fontId="27" fillId="0" borderId="0" xfId="0" applyNumberFormat="1" applyFont="1" applyAlignment="1">
      <alignment horizontal="center" vertical="center"/>
    </xf>
    <xf numFmtId="0" fontId="27" fillId="0" borderId="0" xfId="0" applyNumberFormat="1" applyFont="1" applyAlignment="1">
      <alignment vertical="center"/>
    </xf>
    <xf numFmtId="0" fontId="50" fillId="0" borderId="0" xfId="0" applyNumberFormat="1" applyFont="1" applyAlignment="1">
      <alignment vertical="center" wrapText="1"/>
    </xf>
    <xf numFmtId="0" fontId="0" fillId="0" borderId="6" xfId="0" applyNumberFormat="1" applyFont="1" applyBorder="1" applyAlignment="1">
      <alignment vertical="center"/>
    </xf>
    <xf numFmtId="0" fontId="28" fillId="0" borderId="3" xfId="0" applyNumberFormat="1" applyFont="1" applyBorder="1" applyAlignment="1">
      <alignment horizontal="center" vertical="center" wrapText="1"/>
    </xf>
    <xf numFmtId="0" fontId="53" fillId="0" borderId="0" xfId="0" applyNumberFormat="1" applyFont="1" applyAlignment="1">
      <alignment horizontal="left" vertical="center" indent="1"/>
    </xf>
    <xf numFmtId="0" fontId="53" fillId="0" borderId="0" xfId="0" applyNumberFormat="1" applyFont="1" applyAlignment="1">
      <alignment horizontal="left" vertical="center" indent="1"/>
    </xf>
    <xf numFmtId="0" fontId="28" fillId="0" borderId="3" xfId="0" applyNumberFormat="1" applyFont="1" applyBorder="1" applyAlignment="1">
      <alignment vertical="center" wrapText="1"/>
    </xf>
    <xf numFmtId="0" fontId="53" fillId="0" borderId="0" xfId="0" applyNumberFormat="1" applyFont="1" applyAlignment="1">
      <alignment horizontal="center" vertical="center"/>
    </xf>
    <xf numFmtId="0" fontId="53" fillId="0" borderId="0" xfId="0" applyNumberFormat="1" applyFont="1" applyAlignment="1">
      <alignment horizontal="left" vertical="center" wrapText="1"/>
    </xf>
    <xf numFmtId="49" fontId="53" fillId="0" borderId="0" xfId="0" applyNumberFormat="1" applyFont="1" applyAlignment="1">
      <alignment horizontal="left" vertical="center"/>
    </xf>
    <xf numFmtId="0" fontId="5" fillId="0" borderId="0" xfId="0" applyNumberFormat="1" applyFont="1" applyAlignment="1">
      <alignment horizontal="center" vertical="center"/>
    </xf>
    <xf numFmtId="0" fontId="53"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8" fillId="0" borderId="3" xfId="0" applyNumberFormat="1" applyFont="1" applyBorder="1" applyAlignment="1">
      <alignment horizontal="left" vertical="center" wrapText="1" indent="4"/>
    </xf>
    <xf numFmtId="0" fontId="28" fillId="0" borderId="3" xfId="0" applyNumberFormat="1" applyFont="1" applyBorder="1" applyAlignment="1">
      <alignment horizontal="left" vertical="center" wrapText="1" indent="6"/>
    </xf>
    <xf numFmtId="0" fontId="28" fillId="0" borderId="3" xfId="0" applyNumberFormat="1" applyFont="1" applyBorder="1" applyAlignment="1">
      <alignment vertical="top" wrapText="1"/>
    </xf>
    <xf numFmtId="49" fontId="7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4"/>
    </xf>
    <xf numFmtId="49" fontId="28" fillId="0" borderId="6"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8"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8"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8" fillId="0" borderId="3" xfId="0" applyNumberFormat="1" applyFont="1" applyBorder="1" applyAlignment="1">
      <alignment horizontal="left" vertical="center" wrapText="1" indent="5"/>
    </xf>
    <xf numFmtId="49" fontId="53" fillId="0" borderId="15" xfId="0" applyNumberFormat="1" applyFont="1" applyBorder="1">
      <alignment vertical="top"/>
    </xf>
    <xf numFmtId="49" fontId="28" fillId="0" borderId="15" xfId="0" applyNumberFormat="1" applyFont="1" applyBorder="1">
      <alignment vertical="top"/>
    </xf>
    <xf numFmtId="0" fontId="5" fillId="0" borderId="3" xfId="0" applyNumberFormat="1" applyFont="1" applyBorder="1" applyAlignment="1">
      <alignment horizontal="left" vertical="center" wrapText="1" inden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8"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7" fillId="0" borderId="0" xfId="0" applyNumberFormat="1" applyFont="1" applyAlignment="1">
      <alignment vertical="center" wrapText="1"/>
    </xf>
    <xf numFmtId="0" fontId="27" fillId="0" borderId="0" xfId="0" applyNumberFormat="1" applyFont="1" applyAlignment="1">
      <alignment horizontal="center" vertical="center" wrapText="1"/>
    </xf>
    <xf numFmtId="0" fontId="37" fillId="8" borderId="0" xfId="0" applyNumberFormat="1" applyFont="1" applyFill="1" applyAlignment="1">
      <alignment horizontal="center" vertical="center" wrapText="1"/>
    </xf>
    <xf numFmtId="0" fontId="37"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5"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0" fillId="10" borderId="20" xfId="0" applyNumberFormat="1" applyFont="1" applyFill="1" applyBorder="1" applyAlignment="1">
      <alignment horizontal="left" vertical="center"/>
    </xf>
    <xf numFmtId="49" fontId="28" fillId="0" borderId="5" xfId="0" applyNumberFormat="1" applyFont="1" applyBorder="1" applyAlignment="1">
      <alignment horizontal="left" vertical="center" wrapText="1"/>
    </xf>
    <xf numFmtId="0" fontId="28" fillId="0" borderId="5" xfId="0" applyNumberFormat="1" applyFont="1" applyBorder="1" applyAlignment="1">
      <alignment horizontal="left" vertical="center"/>
    </xf>
    <xf numFmtId="0" fontId="28"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8"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8"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0" fontId="17"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2" fillId="0" borderId="0" xfId="0" applyNumberFormat="1" applyFont="1" applyAlignment="1">
      <alignment vertical="center" wrapText="1"/>
    </xf>
    <xf numFmtId="0" fontId="92" fillId="8" borderId="0" xfId="0" applyNumberFormat="1" applyFont="1" applyFill="1" applyAlignment="1">
      <alignment horizontal="center" vertical="center" wrapText="1"/>
    </xf>
    <xf numFmtId="0" fontId="28" fillId="8" borderId="3" xfId="0" applyNumberFormat="1" applyFont="1" applyFill="1" applyBorder="1" applyAlignment="1">
      <alignment horizontal="left" vertical="center" wrapText="1" indent="3"/>
    </xf>
    <xf numFmtId="49" fontId="20" fillId="10" borderId="18" xfId="0" applyNumberFormat="1" applyFont="1" applyFill="1" applyBorder="1" applyAlignment="1">
      <alignment horizontal="left" vertical="center"/>
    </xf>
    <xf numFmtId="0" fontId="92" fillId="0" borderId="0" xfId="0" applyNumberFormat="1" applyFont="1" applyAlignment="1">
      <alignment horizontal="center" vertical="center" wrapText="1"/>
    </xf>
    <xf numFmtId="49" fontId="28"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4"/>
    </xf>
    <xf numFmtId="0" fontId="28"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8" fillId="0" borderId="15" xfId="0" applyNumberFormat="1" applyFont="1" applyBorder="1" applyAlignment="1">
      <alignment horizontal="left" vertical="center" wrapText="1" indent="1"/>
    </xf>
    <xf numFmtId="0" fontId="27" fillId="0" borderId="0" xfId="0" applyNumberFormat="1" applyFont="1" applyAlignment="1">
      <alignment horizontal="left" vertical="center"/>
    </xf>
    <xf numFmtId="49" fontId="27" fillId="0" borderId="0" xfId="0" applyNumberFormat="1" applyFont="1" applyAlignment="1">
      <alignment horizontal="left" vertical="center"/>
    </xf>
    <xf numFmtId="0" fontId="27" fillId="0" borderId="0" xfId="0" applyNumberFormat="1" applyFont="1" applyAlignment="1">
      <alignment horizontal="left" vertical="center"/>
    </xf>
    <xf numFmtId="0" fontId="50" fillId="0" borderId="0" xfId="0" applyNumberFormat="1" applyFont="1" applyAlignment="1">
      <alignment horizontal="left" vertical="center"/>
    </xf>
    <xf numFmtId="0" fontId="28"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7" fillId="0" borderId="0" xfId="0" applyNumberFormat="1" applyFont="1" applyAlignment="1">
      <alignment horizontal="center" vertical="center" wrapText="1"/>
    </xf>
    <xf numFmtId="0" fontId="17" fillId="8" borderId="0" xfId="0" applyNumberFormat="1" applyFont="1" applyFill="1" applyAlignment="1">
      <alignment horizontal="center" vertical="center" wrapText="1"/>
    </xf>
    <xf numFmtId="49" fontId="27" fillId="0" borderId="0" xfId="0" applyNumberFormat="1" applyFont="1" applyAlignment="1">
      <alignment horizontal="left" vertical="center"/>
    </xf>
    <xf numFmtId="49" fontId="27" fillId="0" borderId="0" xfId="0" applyNumberFormat="1" applyFont="1" applyAlignment="1">
      <alignment horizontal="left" vertical="center"/>
    </xf>
    <xf numFmtId="49" fontId="27"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xf>
    <xf numFmtId="0" fontId="53" fillId="8" borderId="0" xfId="0" applyNumberFormat="1" applyFont="1" applyFill="1" applyAlignment="1">
      <alignment vertical="center" wrapText="1"/>
    </xf>
    <xf numFmtId="0" fontId="48"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5" fillId="8" borderId="0" xfId="0" applyNumberFormat="1" applyFont="1" applyFill="1" applyAlignment="1"/>
    <xf numFmtId="0" fontId="49"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3" fillId="0" borderId="0" xfId="0" applyNumberFormat="1" applyFont="1" applyAlignment="1">
      <alignment vertical="center"/>
    </xf>
    <xf numFmtId="0" fontId="93"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0"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4" fillId="10" borderId="18" xfId="0" applyNumberFormat="1" applyFont="1" applyFill="1" applyBorder="1" applyAlignment="1">
      <alignment horizontal="left" vertical="center" wrapText="1"/>
    </xf>
    <xf numFmtId="0" fontId="28" fillId="0" borderId="18" xfId="0" applyNumberFormat="1" applyFont="1" applyBorder="1" applyAlignment="1">
      <alignment horizontal="center" vertical="center" wrapText="1"/>
    </xf>
    <xf numFmtId="0" fontId="28" fillId="0" borderId="0" xfId="0" applyNumberFormat="1" applyFont="1" applyAlignment="1">
      <alignment horizontal="center" vertical="center"/>
    </xf>
    <xf numFmtId="0" fontId="22"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7"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8" fillId="0" borderId="0" xfId="0" applyNumberFormat="1" applyFont="1" applyAlignment="1">
      <alignment horizontal="center" vertical="center"/>
    </xf>
    <xf numFmtId="49" fontId="48" fillId="0" borderId="0" xfId="0" applyNumberFormat="1" applyFont="1">
      <alignment vertical="top"/>
    </xf>
    <xf numFmtId="0" fontId="22"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0" fillId="0" borderId="14" xfId="0" applyNumberFormat="1" applyFont="1" applyBorder="1" applyAlignment="1">
      <alignment horizontal="left" vertical="center"/>
    </xf>
    <xf numFmtId="0" fontId="20" fillId="10" borderId="5" xfId="0" applyNumberFormat="1" applyFont="1" applyFill="1" applyBorder="1" applyAlignment="1">
      <alignment horizontal="left" vertical="center"/>
    </xf>
    <xf numFmtId="0" fontId="20" fillId="0" borderId="27" xfId="0" applyNumberFormat="1" applyFont="1" applyBorder="1" applyAlignment="1">
      <alignment horizontal="left" vertical="center"/>
    </xf>
    <xf numFmtId="0" fontId="20" fillId="10" borderId="28" xfId="0" applyNumberFormat="1" applyFont="1" applyFill="1" applyBorder="1" applyAlignment="1">
      <alignment horizontal="left" vertical="center"/>
    </xf>
    <xf numFmtId="49" fontId="48" fillId="10" borderId="5" xfId="0" applyNumberFormat="1" applyFont="1" applyFill="1" applyBorder="1">
      <alignment vertical="top"/>
    </xf>
    <xf numFmtId="49" fontId="48"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7" fillId="0" borderId="0" xfId="0" applyNumberFormat="1" applyFont="1" applyAlignment="1">
      <alignment horizontal="center" vertical="center"/>
    </xf>
    <xf numFmtId="0" fontId="94" fillId="0" borderId="0" xfId="0" applyNumberFormat="1" applyFont="1" applyAlignment="1">
      <alignment vertical="center" wrapText="1"/>
    </xf>
    <xf numFmtId="0" fontId="9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7"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7"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0" fillId="0" borderId="0" xfId="0" applyNumberFormat="1" applyFont="1" applyAlignment="1">
      <alignment horizontal="left" vertical="center"/>
    </xf>
    <xf numFmtId="49" fontId="17" fillId="0" borderId="0" xfId="0" applyNumberFormat="1" applyFont="1" applyAlignment="1">
      <alignment horizontal="center" vertical="center" wrapText="1"/>
    </xf>
    <xf numFmtId="0" fontId="20" fillId="0" borderId="0" xfId="0" applyNumberFormat="1" applyFont="1" applyAlignment="1">
      <alignment vertical="center"/>
    </xf>
    <xf numFmtId="49" fontId="48"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0" fillId="0" borderId="13" xfId="0" applyNumberFormat="1" applyFont="1" applyBorder="1" applyAlignment="1">
      <alignment horizontal="left" vertical="center"/>
    </xf>
    <xf numFmtId="49" fontId="48" fillId="0" borderId="18" xfId="0" applyNumberFormat="1" applyFont="1" applyBorder="1">
      <alignment vertical="top"/>
    </xf>
    <xf numFmtId="49" fontId="5" fillId="0" borderId="27" xfId="0" applyNumberFormat="1" applyFont="1" applyBorder="1" applyAlignment="1">
      <alignment horizontal="center" vertical="center" wrapText="1"/>
    </xf>
    <xf numFmtId="0" fontId="20"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22" fillId="0" borderId="0" xfId="0" applyNumberFormat="1" applyFont="1" applyAlignment="1">
      <alignment vertical="center" wrapText="1"/>
    </xf>
    <xf numFmtId="0" fontId="5" fillId="0" borderId="0" xfId="0" applyNumberFormat="1" applyFont="1" applyAlignment="1">
      <alignment horizontal="left" vertical="center" wrapText="1"/>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69" fillId="0" borderId="0" xfId="0" applyNumberFormat="1" applyFont="1" applyAlignment="1">
      <alignment vertical="center" wrapText="1"/>
    </xf>
    <xf numFmtId="0" fontId="28" fillId="0" borderId="0" xfId="0" applyNumberFormat="1" applyFont="1" applyAlignment="1">
      <alignment vertical="center" wrapText="1"/>
    </xf>
    <xf numFmtId="0" fontId="45"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7"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8"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vertical="center"/>
    </xf>
    <xf numFmtId="0" fontId="17" fillId="8" borderId="3" xfId="0" applyNumberFormat="1" applyFont="1" applyFill="1" applyBorder="1" applyAlignment="1">
      <alignment horizontal="center" vertical="center" wrapText="1"/>
    </xf>
    <xf numFmtId="0" fontId="27" fillId="0" borderId="13" xfId="0" applyNumberFormat="1" applyFont="1" applyBorder="1" applyAlignment="1">
      <alignment vertical="center"/>
    </xf>
    <xf numFmtId="0" fontId="27"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5" fillId="0" borderId="0" xfId="0" applyNumberFormat="1" applyFont="1" applyAlignment="1">
      <alignment vertical="center"/>
    </xf>
    <xf numFmtId="0" fontId="53" fillId="0" borderId="0" xfId="0" applyNumberFormat="1" applyFont="1" applyAlignment="1">
      <alignment vertical="center" wrapText="1"/>
    </xf>
    <xf numFmtId="0" fontId="28"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8"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8" fillId="0" borderId="5" xfId="0" applyNumberFormat="1" applyFont="1" applyBorder="1" applyAlignment="1">
      <alignment vertical="center" wrapText="1"/>
    </xf>
    <xf numFmtId="0" fontId="28"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49" fontId="20"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2"/>
    </xf>
    <xf numFmtId="49" fontId="24"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7"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7"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5"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6" fillId="0" borderId="0" xfId="0" applyNumberFormat="1" applyFont="1" applyAlignment="1">
      <alignment wrapText="1"/>
    </xf>
    <xf numFmtId="49" fontId="47" fillId="0" borderId="0" xfId="0" applyNumberFormat="1" applyFont="1" applyAlignment="1">
      <alignment wrapText="1"/>
    </xf>
    <xf numFmtId="49" fontId="47" fillId="0" borderId="0" xfId="0" applyNumberFormat="1" applyFont="1" applyAlignment="1">
      <alignment vertical="center" wrapText="1"/>
    </xf>
    <xf numFmtId="49" fontId="97" fillId="0" borderId="0" xfId="0" applyNumberFormat="1" applyFont="1" applyAlignment="1">
      <alignment wrapText="1"/>
    </xf>
    <xf numFmtId="0" fontId="83" fillId="0" borderId="0" xfId="0" applyNumberFormat="1" applyFont="1" applyAlignment="1">
      <alignment horizontal="left" vertical="center" wrapText="1"/>
    </xf>
    <xf numFmtId="49" fontId="98" fillId="0" borderId="0" xfId="0" applyNumberFormat="1" applyFont="1" applyAlignment="1">
      <alignment wrapText="1"/>
    </xf>
    <xf numFmtId="0" fontId="26" fillId="0" borderId="0" xfId="0" applyNumberFormat="1" applyFont="1" applyAlignment="1">
      <alignment horizontal="left" vertical="top" wrapText="1"/>
    </xf>
    <xf numFmtId="49" fontId="5" fillId="0" borderId="0" xfId="0" applyNumberFormat="1" applyFont="1" applyAlignment="1">
      <alignment vertical="top" wrapText="1"/>
    </xf>
    <xf numFmtId="0" fontId="47" fillId="0" borderId="0" xfId="0" applyNumberFormat="1" applyFont="1" applyAlignment="1">
      <alignment wrapText="1"/>
    </xf>
    <xf numFmtId="0" fontId="99" fillId="0" borderId="0" xfId="0" applyNumberFormat="1" applyFont="1" applyAlignment="1">
      <alignment horizontal="left" vertical="center" wrapText="1"/>
    </xf>
    <xf numFmtId="0" fontId="100" fillId="0" borderId="0" xfId="0" applyNumberFormat="1" applyFont="1" applyAlignment="1">
      <alignment vertical="center" wrapText="1"/>
    </xf>
    <xf numFmtId="0" fontId="47" fillId="0" borderId="29" xfId="0" applyNumberFormat="1" applyFont="1" applyBorder="1" applyAlignment="1">
      <alignment wrapText="1"/>
    </xf>
    <xf numFmtId="0" fontId="47" fillId="0" borderId="0" xfId="0" applyNumberFormat="1" applyFont="1" applyAlignment="1"/>
    <xf numFmtId="0" fontId="99" fillId="0" borderId="0" xfId="0" applyNumberFormat="1" applyFont="1" applyAlignment="1"/>
    <xf numFmtId="0" fontId="101"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99" fillId="0" borderId="29" xfId="0" applyNumberFormat="1" applyFont="1" applyBorder="1" applyAlignment="1">
      <alignment horizontal="left" vertical="center" wrapText="1"/>
    </xf>
    <xf numFmtId="0" fontId="99" fillId="0" borderId="52" xfId="0" applyNumberFormat="1" applyFont="1" applyBorder="1" applyAlignment="1">
      <alignment horizontal="left" vertical="center" wrapText="1"/>
    </xf>
    <xf numFmtId="0" fontId="101" fillId="0" borderId="0" xfId="0" applyNumberFormat="1" applyFont="1" applyAlignment="1"/>
    <xf numFmtId="0" fontId="101" fillId="0" borderId="29" xfId="0" applyNumberFormat="1" applyFont="1" applyBorder="1" applyAlignment="1">
      <alignment wrapText="1"/>
    </xf>
    <xf numFmtId="0" fontId="47" fillId="0" borderId="53" xfId="0" applyNumberFormat="1" applyFont="1" applyBorder="1" applyAlignment="1">
      <alignment wrapText="1"/>
    </xf>
    <xf numFmtId="0" fontId="47" fillId="0" borderId="30" xfId="0" applyNumberFormat="1" applyFont="1" applyBorder="1" applyAlignment="1">
      <alignment wrapText="1"/>
    </xf>
    <xf numFmtId="0" fontId="47" fillId="0" borderId="30" xfId="0" applyNumberFormat="1" applyFont="1" applyBorder="1" applyAlignment="1">
      <alignment vertical="center" wrapText="1"/>
    </xf>
    <xf numFmtId="0" fontId="97" fillId="0" borderId="0" xfId="0" applyNumberFormat="1" applyFont="1" applyAlignment="1"/>
    <xf numFmtId="0" fontId="16"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2"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8" fillId="0" borderId="0" xfId="0" applyNumberFormat="1" applyFont="1" applyAlignment="1">
      <alignment horizontal="center" vertical="center" wrapText="1"/>
    </xf>
    <xf numFmtId="168"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0" fillId="0" borderId="27" xfId="0" applyNumberFormat="1" applyFont="1" applyBorder="1" applyAlignment="1">
      <alignment horizontal="left" vertical="center"/>
    </xf>
    <xf numFmtId="0" fontId="20" fillId="9" borderId="27" xfId="0" applyNumberFormat="1" applyFont="1" applyFill="1" applyBorder="1" applyAlignment="1" applyProtection="1">
      <alignment horizontal="left" vertical="center"/>
      <protection locked="0"/>
    </xf>
    <xf numFmtId="0" fontId="20"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7"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49" fontId="5" fillId="8" borderId="17" xfId="0" applyNumberFormat="1" applyFont="1" applyFill="1" applyBorder="1" applyAlignment="1">
      <alignment horizontal="right" vertical="center" wrapText="1" indent="1"/>
    </xf>
    <xf numFmtId="49" fontId="27"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0"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5"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6" fillId="0" borderId="3"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5" fillId="0" borderId="4" xfId="0" applyNumberFormat="1" applyFont="1" applyBorder="1" applyAlignment="1">
      <alignment horizontal="center" vertical="center"/>
    </xf>
    <xf numFmtId="49" fontId="0" fillId="11" borderId="0" xfId="0" applyNumberFormat="1" applyFont="1" applyFill="1">
      <alignment vertical="top"/>
    </xf>
    <xf numFmtId="0" fontId="17" fillId="8" borderId="0" xfId="0" applyNumberFormat="1" applyFont="1" applyFill="1" applyAlignment="1">
      <alignment horizontal="center" vertical="center" wrapText="1"/>
    </xf>
    <xf numFmtId="0" fontId="17" fillId="8" borderId="0" xfId="0" applyNumberFormat="1" applyFont="1" applyFill="1" applyAlignment="1">
      <alignment horizontal="center"/>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7" fillId="8" borderId="0" xfId="0" applyNumberFormat="1" applyFont="1" applyFill="1" applyAlignment="1">
      <alignment vertical="top" wrapText="1"/>
    </xf>
    <xf numFmtId="49" fontId="103" fillId="12" borderId="3" xfId="0" applyNumberFormat="1" applyFont="1" applyFill="1" applyBorder="1" applyAlignment="1" applyProtection="1">
      <alignment horizontal="left" vertical="center" wrapText="1"/>
      <protection locked="0"/>
    </xf>
    <xf numFmtId="49" fontId="17" fillId="0" borderId="0" xfId="0" applyNumberFormat="1" applyFont="1" applyAlignment="1">
      <alignment horizontal="center" vertical="center" wrapText="1"/>
    </xf>
    <xf numFmtId="0" fontId="17" fillId="0" borderId="15" xfId="0" applyNumberFormat="1" applyFont="1" applyBorder="1" applyAlignment="1">
      <alignment horizontal="center" vertical="center" wrapText="1"/>
    </xf>
    <xf numFmtId="49" fontId="104"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104"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7"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7" fillId="0" borderId="27" xfId="0" applyNumberFormat="1" applyFont="1" applyBorder="1" applyAlignment="1">
      <alignment vertical="center" wrapText="1"/>
    </xf>
    <xf numFmtId="49" fontId="17" fillId="0" borderId="27" xfId="0" applyNumberFormat="1" applyFont="1" applyBorder="1" applyAlignment="1">
      <alignment horizontal="center" vertical="center" wrapText="1"/>
    </xf>
    <xf numFmtId="49" fontId="17" fillId="0" borderId="10" xfId="0" applyNumberFormat="1" applyFont="1" applyBorder="1" applyAlignment="1">
      <alignment vertical="center" wrapText="1"/>
    </xf>
    <xf numFmtId="49" fontId="17" fillId="0" borderId="0" xfId="0" applyNumberFormat="1" applyFont="1" applyAlignment="1">
      <alignment vertical="center" wrapText="1"/>
    </xf>
    <xf numFmtId="49" fontId="17"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5" fillId="27" borderId="0" xfId="0" applyNumberFormat="1" applyFont="1" applyFill="1" applyAlignment="1">
      <alignment vertical="center" wrapText="1"/>
    </xf>
    <xf numFmtId="0" fontId="27" fillId="0" borderId="0" xfId="0" applyNumberFormat="1" applyFont="1" applyAlignment="1">
      <alignment vertical="top" wrapText="1"/>
    </xf>
    <xf numFmtId="49"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7"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5"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4"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5" fillId="0" borderId="10" xfId="0" applyNumberFormat="1" applyFont="1" applyBorder="1" applyAlignment="1">
      <alignment horizontal="center" vertical="center" wrapText="1"/>
    </xf>
    <xf numFmtId="169" fontId="25"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4"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6" fillId="0" borderId="0" xfId="13" applyNumberFormat="1" applyFont="1" applyAlignment="1">
      <alignment horizontal="center" vertical="center" wrapText="1"/>
    </xf>
    <xf numFmtId="0" fontId="16"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8"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1" fillId="8" borderId="1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7" fillId="0" borderId="27" xfId="0" applyNumberFormat="1" applyFont="1" applyBorder="1" applyAlignment="1">
      <alignment horizontal="left" vertical="center" wrapText="1" indent="1"/>
    </xf>
    <xf numFmtId="49" fontId="86"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8"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49" fontId="12" fillId="20" borderId="0" xfId="0" applyNumberFormat="1" applyFont="1" applyFill="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4" xfId="0" applyNumberFormat="1" applyFont="1" applyBorder="1" applyAlignment="1">
      <alignment vertical="top" wrapText="1"/>
    </xf>
    <xf numFmtId="0" fontId="28"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5" fillId="0" borderId="34" xfId="0" applyNumberFormat="1" applyFont="1" applyBorder="1" applyAlignment="1">
      <alignment horizontal="center" vertical="center"/>
    </xf>
    <xf numFmtId="49" fontId="75" fillId="0" borderId="34" xfId="0" applyNumberFormat="1" applyFont="1" applyBorder="1" applyAlignment="1">
      <alignment horizontal="left" vertical="center" indent="1"/>
    </xf>
    <xf numFmtId="49" fontId="75" fillId="0" borderId="5" xfId="0" applyNumberFormat="1" applyFont="1" applyBorder="1" applyAlignment="1">
      <alignment horizontal="left" vertical="center" indent="1"/>
    </xf>
    <xf numFmtId="49" fontId="75" fillId="0" borderId="6" xfId="0" applyNumberFormat="1" applyFont="1" applyBorder="1" applyAlignment="1">
      <alignment horizontal="left" vertical="center" indent="1"/>
    </xf>
    <xf numFmtId="49" fontId="75" fillId="0" borderId="6" xfId="0" applyNumberFormat="1" applyFont="1" applyBorder="1" applyAlignment="1">
      <alignment vertical="top" wrapText="1"/>
    </xf>
    <xf numFmtId="49" fontId="75" fillId="0" borderId="4" xfId="0" applyNumberFormat="1" applyFont="1" applyBorder="1" applyAlignment="1">
      <alignment vertical="top" wrapText="1"/>
    </xf>
    <xf numFmtId="49" fontId="106" fillId="0" borderId="0" xfId="0" applyNumberFormat="1" applyFont="1" applyAlignment="1">
      <alignment horizontal="center" vertical="top" wrapText="1"/>
    </xf>
    <xf numFmtId="0" fontId="75" fillId="0" borderId="3" xfId="0" applyNumberFormat="1" applyFont="1" applyBorder="1" applyAlignment="1">
      <alignment horizontal="center" vertical="center"/>
    </xf>
    <xf numFmtId="0" fontId="75" fillId="0" borderId="3" xfId="0" applyNumberFormat="1" applyFont="1" applyBorder="1" applyAlignment="1">
      <alignment horizontal="left" vertical="center" wrapText="1" indent="1"/>
    </xf>
    <xf numFmtId="4" fontId="27" fillId="0" borderId="22" xfId="0" applyNumberFormat="1" applyFont="1" applyBorder="1" applyAlignment="1">
      <alignment horizontal="right" vertical="center" wrapText="1"/>
    </xf>
    <xf numFmtId="49" fontId="27" fillId="0" borderId="6" xfId="0" applyNumberFormat="1" applyFont="1" applyBorder="1" applyAlignment="1">
      <alignment horizontal="left" vertical="center" indent="1"/>
    </xf>
    <xf numFmtId="49" fontId="75" fillId="0" borderId="43" xfId="0" applyNumberFormat="1" applyFont="1" applyBorder="1" applyAlignment="1">
      <alignment vertical="top" wrapText="1"/>
    </xf>
    <xf numFmtId="49" fontId="75"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7" fillId="0" borderId="3" xfId="0" applyNumberFormat="1" applyFont="1" applyBorder="1" applyAlignment="1">
      <alignment horizontal="center" vertical="center" wrapText="1"/>
    </xf>
    <xf numFmtId="49" fontId="107"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7" fillId="28" borderId="3" xfId="0" applyNumberFormat="1" applyFont="1" applyFill="1" applyBorder="1" applyAlignment="1">
      <alignment horizontal="left" vertical="center" wrapText="1"/>
    </xf>
    <xf numFmtId="0" fontId="72"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7"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4"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xf>
    <xf numFmtId="4" fontId="5" fillId="9" borderId="8"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vertical="center" wrapText="1"/>
    </xf>
    <xf numFmtId="167" fontId="5" fillId="0" borderId="3" xfId="0" applyNumberFormat="1" applyFont="1" applyBorder="1" applyAlignment="1">
      <alignment horizontal="right" vertical="center" wrapText="1"/>
    </xf>
    <xf numFmtId="49" fontId="0" fillId="0" borderId="3" xfId="0" applyNumberFormat="1" applyFont="1" applyBorder="1" applyAlignment="1">
      <alignment horizontal="left" vertical="center" wrapText="1" indent="1"/>
    </xf>
    <xf numFmtId="49" fontId="0" fillId="0" borderId="8" xfId="0" applyNumberFormat="1" applyFont="1" applyBorder="1" applyAlignment="1">
      <alignment horizontal="left" vertical="center" wrapText="1"/>
    </xf>
    <xf numFmtId="49" fontId="0" fillId="29" borderId="0" xfId="0" applyNumberFormat="1" applyFont="1" applyFill="1" applyAlignment="1">
      <alignment vertical="center" wrapText="1"/>
    </xf>
    <xf numFmtId="1" fontId="5" fillId="12" borderId="54" xfId="0" applyNumberFormat="1" applyFont="1" applyFill="1" applyBorder="1" applyAlignment="1" applyProtection="1">
      <alignment vertical="center" wrapText="1"/>
      <protection locked="0"/>
    </xf>
    <xf numFmtId="1" fontId="5" fillId="12" borderId="8" xfId="0" applyNumberFormat="1" applyFont="1" applyFill="1" applyBorder="1" applyAlignment="1" applyProtection="1">
      <alignment vertical="center" wrapText="1"/>
      <protection locked="0"/>
    </xf>
    <xf numFmtId="1" fontId="5" fillId="12" borderId="27" xfId="0" applyNumberFormat="1" applyFont="1" applyFill="1" applyBorder="1" applyAlignment="1" applyProtection="1">
      <alignment vertical="center" wrapText="1"/>
      <protection locked="0"/>
    </xf>
    <xf numFmtId="1" fontId="5" fillId="12" borderId="14" xfId="0" applyNumberFormat="1" applyFont="1" applyFill="1" applyBorder="1" applyAlignment="1" applyProtection="1">
      <alignment vertical="center" wrapText="1"/>
      <protection locked="0"/>
    </xf>
    <xf numFmtId="0" fontId="0" fillId="9" borderId="3" xfId="0" applyNumberFormat="1" applyFont="1" applyFill="1" applyBorder="1" applyAlignment="1" applyProtection="1">
      <alignment horizontal="left" vertical="center" wrapText="1" indent="2"/>
      <protection locked="0"/>
    </xf>
    <xf numFmtId="0" fontId="5" fillId="0" borderId="5" xfId="0" applyNumberFormat="1" applyFont="1" applyBorder="1" applyAlignment="1">
      <alignment vertical="center"/>
    </xf>
    <xf numFmtId="0" fontId="0" fillId="0" borderId="4" xfId="0" applyNumberFormat="1" applyFont="1" applyBorder="1" applyAlignment="1">
      <alignment vertical="center"/>
    </xf>
    <xf numFmtId="49" fontId="0" fillId="0" borderId="3" xfId="0" applyNumberFormat="1" applyFont="1" applyBorder="1">
      <alignment vertical="top"/>
    </xf>
    <xf numFmtId="49" fontId="12" fillId="20" borderId="0" xfId="0" applyNumberFormat="1" applyFont="1" applyFill="1" applyAlignment="1">
      <alignment horizontal="center" vertical="center"/>
    </xf>
    <xf numFmtId="0" fontId="0" fillId="0" borderId="3" xfId="0" applyNumberFormat="1" applyFont="1" applyBorder="1" applyAlignment="1">
      <alignment vertical="center"/>
    </xf>
    <xf numFmtId="4"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49" fontId="5" fillId="9" borderId="5"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xf>
    <xf numFmtId="0" fontId="5" fillId="7" borderId="5"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9" fontId="5"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center" wrapText="1" indent="1"/>
    </xf>
    <xf numFmtId="0" fontId="27" fillId="0" borderId="0" xfId="0" applyNumberFormat="1" applyFont="1" applyAlignment="1">
      <alignment horizontal="center" vertical="center" wrapText="1"/>
    </xf>
    <xf numFmtId="168" fontId="0" fillId="9" borderId="4" xfId="0" applyNumberFormat="1" applyFont="1" applyFill="1" applyBorder="1" applyAlignment="1" applyProtection="1">
      <alignment horizontal="left" vertical="center" wrapText="1"/>
      <protection locked="0"/>
    </xf>
    <xf numFmtId="168" fontId="0" fillId="9" borderId="5"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168" fontId="0" fillId="12" borderId="2" xfId="0" applyNumberFormat="1" applyFont="1" applyFill="1" applyBorder="1" applyAlignment="1" applyProtection="1">
      <alignment horizontal="left" vertical="center" wrapText="1" indent="1"/>
      <protection locked="0"/>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6" xfId="0" applyNumberFormat="1" applyFont="1" applyFill="1" applyBorder="1" applyAlignment="1">
      <alignment vertical="center" wrapText="1"/>
    </xf>
    <xf numFmtId="0" fontId="27" fillId="10" borderId="6" xfId="0" applyNumberFormat="1" applyFont="1" applyFill="1" applyBorder="1" applyAlignment="1">
      <alignment vertical="center" wrapText="1"/>
    </xf>
    <xf numFmtId="0" fontId="27" fillId="10" borderId="6" xfId="0" applyNumberFormat="1" applyFont="1" applyFill="1" applyBorder="1" applyAlignment="1">
      <alignment vertical="center" wrapText="1"/>
    </xf>
    <xf numFmtId="0" fontId="27" fillId="10" borderId="6" xfId="0" applyNumberFormat="1" applyFont="1" applyFill="1" applyBorder="1" applyAlignment="1">
      <alignment vertical="center" wrapText="1"/>
    </xf>
    <xf numFmtId="0" fontId="27"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49" fontId="20" fillId="10" borderId="47"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25" borderId="4" xfId="0" applyNumberFormat="1" applyFont="1" applyFill="1" applyBorder="1" applyAlignment="1">
      <alignment horizontal="left" vertical="center" inden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49" fontId="103" fillId="12" borderId="3" xfId="0" applyNumberFormat="1" applyFont="1" applyFill="1" applyBorder="1" applyAlignment="1">
      <alignment horizontal="left" vertical="center" wrapText="1"/>
    </xf>
    <xf numFmtId="49" fontId="5" fillId="8" borderId="8" xfId="0" applyNumberFormat="1" applyFont="1" applyFill="1" applyBorder="1" applyAlignment="1">
      <alignment horizontal="left" vertical="center" wrapText="1" indent="1"/>
    </xf>
    <xf numFmtId="0" fontId="10" fillId="0" borderId="0" xfId="0" applyNumberFormat="1" applyFont="1" applyAlignment="1"/>
    <xf numFmtId="0" fontId="115" fillId="0" borderId="0" xfId="0" applyNumberFormat="1" applyFont="1" applyAlignment="1">
      <alignment vertical="center" wrapText="1"/>
    </xf>
    <xf numFmtId="0" fontId="116" fillId="0" borderId="0" xfId="0" applyNumberFormat="1" applyFont="1" applyAlignment="1">
      <alignment vertical="center" wrapText="1"/>
    </xf>
    <xf numFmtId="4" fontId="115" fillId="0" borderId="0" xfId="0" applyNumberFormat="1" applyFont="1" applyAlignment="1">
      <alignment vertical="center" wrapText="1"/>
    </xf>
    <xf numFmtId="0" fontId="115" fillId="0" borderId="0" xfId="0" applyNumberFormat="1" applyFont="1" applyAlignment="1">
      <alignment horizontal="left" vertical="center" wrapText="1"/>
    </xf>
    <xf numFmtId="0" fontId="116" fillId="0" borderId="0" xfId="0" applyNumberFormat="1" applyFont="1" applyAlignment="1">
      <alignment horizontal="left" vertical="center" wrapText="1"/>
    </xf>
    <xf numFmtId="0" fontId="83" fillId="0" borderId="0" xfId="0" applyNumberFormat="1" applyFont="1" applyAlignment="1">
      <alignment vertical="center" wrapText="1"/>
    </xf>
    <xf numFmtId="0" fontId="83" fillId="0" borderId="0" xfId="0" applyNumberFormat="1" applyFont="1" applyAlignment="1">
      <alignment vertical="center"/>
    </xf>
    <xf numFmtId="0" fontId="26" fillId="30" borderId="55" xfId="0" applyNumberFormat="1" applyFont="1" applyFill="1" applyBorder="1" applyAlignment="1">
      <alignment horizontal="center" vertical="center" wrapText="1"/>
    </xf>
    <xf numFmtId="0" fontId="26" fillId="30" borderId="56" xfId="0" applyNumberFormat="1" applyFont="1" applyFill="1" applyBorder="1" applyAlignment="1">
      <alignment horizontal="center" vertical="center" wrapText="1"/>
    </xf>
    <xf numFmtId="0" fontId="26" fillId="30" borderId="57" xfId="0" applyNumberFormat="1" applyFont="1" applyFill="1" applyBorder="1" applyAlignment="1">
      <alignment horizontal="center" vertical="center" wrapText="1"/>
    </xf>
    <xf numFmtId="0" fontId="26" fillId="19" borderId="29" xfId="0" applyNumberFormat="1" applyFont="1" applyFill="1" applyBorder="1" applyAlignment="1">
      <alignment horizontal="right" vertical="center" wrapText="1" indent="1"/>
    </xf>
    <xf numFmtId="0" fontId="26" fillId="19" borderId="58" xfId="0" applyNumberFormat="1" applyFont="1" applyFill="1" applyBorder="1" applyAlignment="1">
      <alignment horizontal="right" vertical="center" wrapText="1" indent="1"/>
    </xf>
    <xf numFmtId="0" fontId="26" fillId="19" borderId="0" xfId="0" applyNumberFormat="1" applyFont="1" applyFill="1" applyAlignment="1">
      <alignment horizontal="right" vertical="center" wrapText="1" indent="1"/>
    </xf>
    <xf numFmtId="0" fontId="101" fillId="0" borderId="29" xfId="0" applyNumberFormat="1" applyFont="1" applyBorder="1" applyAlignment="1">
      <alignment vertical="center" wrapText="1"/>
    </xf>
    <xf numFmtId="0" fontId="101" fillId="0" borderId="0" xfId="0" applyNumberFormat="1" applyFont="1" applyAlignment="1">
      <alignment vertical="center" wrapText="1"/>
    </xf>
    <xf numFmtId="0" fontId="101" fillId="0" borderId="29" xfId="0" applyNumberFormat="1" applyFont="1" applyBorder="1" applyAlignment="1">
      <alignment horizontal="left" vertical="center" wrapText="1"/>
    </xf>
    <xf numFmtId="0" fontId="101" fillId="0" borderId="0" xfId="0" applyNumberFormat="1" applyFont="1" applyAlignment="1">
      <alignment horizontal="left" vertical="center" wrapText="1"/>
    </xf>
    <xf numFmtId="0" fontId="26" fillId="19" borderId="51" xfId="0" applyNumberFormat="1" applyFont="1" applyFill="1" applyBorder="1" applyAlignment="1">
      <alignment horizontal="right" vertical="center" wrapText="1" indent="1"/>
    </xf>
    <xf numFmtId="0" fontId="26" fillId="19" borderId="59" xfId="0" applyNumberFormat="1" applyFont="1" applyFill="1" applyBorder="1" applyAlignment="1">
      <alignment horizontal="right" vertical="center" wrapText="1" indent="1"/>
    </xf>
    <xf numFmtId="0" fontId="26" fillId="19" borderId="53" xfId="0" applyNumberFormat="1" applyFont="1" applyFill="1" applyBorder="1" applyAlignment="1">
      <alignment horizontal="right" vertical="center" wrapText="1" indent="1"/>
    </xf>
    <xf numFmtId="0" fontId="26" fillId="19" borderId="30" xfId="0" applyNumberFormat="1" applyFont="1" applyFill="1" applyBorder="1" applyAlignment="1">
      <alignment horizontal="right" vertical="center" wrapText="1" indent="1"/>
    </xf>
    <xf numFmtId="0" fontId="101" fillId="0" borderId="0" xfId="0" applyNumberFormat="1" applyFont="1" applyAlignment="1">
      <alignment vertical="top" wrapText="1"/>
    </xf>
    <xf numFmtId="49" fontId="47" fillId="0" borderId="0" xfId="0" applyNumberFormat="1" applyFont="1" applyAlignment="1">
      <alignment vertical="top"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7" fillId="0" borderId="0" xfId="0" applyNumberFormat="1" applyFont="1" applyAlignment="1">
      <alignment horizontal="left" vertical="center" wrapText="1"/>
    </xf>
    <xf numFmtId="14" fontId="74"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27"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0" fontId="56" fillId="13" borderId="3" xfId="0" applyNumberFormat="1" applyFont="1" applyFill="1" applyBorder="1" applyAlignment="1" applyProtection="1">
      <alignment horizontal="left" vertical="center" wrapText="1" indent="1"/>
      <protection locked="0"/>
    </xf>
    <xf numFmtId="0" fontId="56" fillId="13" borderId="3" xfId="0" applyNumberFormat="1" applyFont="1" applyFill="1" applyBorder="1" applyAlignment="1" applyProtection="1">
      <alignment horizontal="left" vertical="top" indent="1"/>
      <protection locked="0"/>
    </xf>
    <xf numFmtId="49" fontId="5" fillId="13" borderId="3" xfId="0" applyNumberFormat="1" applyFont="1" applyFill="1" applyBorder="1" applyAlignment="1">
      <alignment horizontal="center" vertical="center" wrapText="1"/>
    </xf>
    <xf numFmtId="0" fontId="16" fillId="0" borderId="15" xfId="0" applyNumberFormat="1" applyFont="1" applyBorder="1" applyAlignment="1">
      <alignment horizontal="center" vertical="center" wrapText="1"/>
    </xf>
    <xf numFmtId="0" fontId="16" fillId="0" borderId="0" xfId="0" applyNumberFormat="1" applyFont="1" applyAlignment="1">
      <alignment horizontal="center" vertical="center" wrapText="1"/>
    </xf>
    <xf numFmtId="0" fontId="16"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14" fontId="62" fillId="0" borderId="8" xfId="0" applyNumberFormat="1" applyFont="1" applyBorder="1" applyAlignment="1">
      <alignment horizontal="center" vertical="center" wrapText="1"/>
    </xf>
    <xf numFmtId="14" fontId="62" fillId="0" borderId="27"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0" fillId="0" borderId="3" xfId="0" applyNumberFormat="1" applyFont="1" applyBorder="1">
      <alignment vertical="top"/>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14" xfId="0" applyNumberFormat="1" applyFont="1" applyFill="1" applyBorder="1" applyAlignment="1">
      <alignment horizontal="center" vertical="center" wrapText="1"/>
    </xf>
    <xf numFmtId="14" fontId="62" fillId="0" borderId="60" xfId="0" applyNumberFormat="1" applyFont="1" applyBorder="1" applyAlignment="1">
      <alignment horizontal="center" vertical="center" wrapText="1"/>
    </xf>
    <xf numFmtId="0" fontId="5" fillId="0" borderId="60" xfId="0" applyNumberFormat="1" applyFont="1" applyBorder="1" applyAlignment="1">
      <alignment horizontal="center" vertical="center" wrapText="1"/>
    </xf>
    <xf numFmtId="49" fontId="16" fillId="0" borderId="61" xfId="0" applyNumberFormat="1" applyFont="1" applyBorder="1" applyAlignment="1">
      <alignment horizontal="center" vertical="center" wrapText="1"/>
    </xf>
    <xf numFmtId="49" fontId="16" fillId="0" borderId="62"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6" fillId="0" borderId="28" xfId="0" applyNumberFormat="1" applyFont="1" applyBorder="1" applyAlignment="1">
      <alignment horizontal="center" vertical="center" wrapText="1"/>
    </xf>
    <xf numFmtId="0" fontId="56"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6" fillId="0" borderId="3"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0" borderId="64" xfId="0" applyNumberFormat="1" applyFont="1" applyBorder="1" applyAlignment="1">
      <alignment horizontal="center" vertical="center" wrapText="1"/>
    </xf>
    <xf numFmtId="0" fontId="0" fillId="0" borderId="3" xfId="0" applyNumberFormat="1" applyFont="1" applyBorder="1" applyAlignment="1">
      <alignment horizontal="center" vertical="top"/>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3" xfId="0" applyNumberFormat="1" applyFont="1" applyBorder="1" applyAlignment="1">
      <alignment horizontal="center" vertical="center" wrapText="1"/>
    </xf>
    <xf numFmtId="49" fontId="28"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3" fillId="0" borderId="15" xfId="0" applyNumberFormat="1" applyFont="1" applyBorder="1" applyAlignment="1">
      <alignment horizontal="left" vertical="center" wrapText="1" indent="1"/>
    </xf>
    <xf numFmtId="0" fontId="53" fillId="0" borderId="27" xfId="0" applyNumberFormat="1" applyFont="1" applyBorder="1" applyAlignment="1">
      <alignment horizontal="left" vertical="center" wrapText="1" indent="1"/>
    </xf>
    <xf numFmtId="0" fontId="53"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5" fillId="0" borderId="8" xfId="0" applyNumberFormat="1" applyFont="1" applyBorder="1" applyAlignment="1">
      <alignment horizontal="center" vertical="center" wrapText="1"/>
    </xf>
    <xf numFmtId="0" fontId="5" fillId="0" borderId="18" xfId="0" applyNumberFormat="1" applyFont="1" applyBorder="1" applyAlignment="1">
      <alignment horizontal="left" vertical="center" wrapText="1" inden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49" fontId="5" fillId="0" borderId="3" xfId="0" applyNumberFormat="1" applyFont="1" applyBorder="1" applyAlignment="1">
      <alignment horizontal="center" vertical="center"/>
    </xf>
    <xf numFmtId="0" fontId="5" fillId="0" borderId="5"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left" vertical="center" wrapText="1"/>
    </xf>
    <xf numFmtId="0" fontId="5" fillId="0" borderId="10" xfId="0" applyNumberFormat="1" applyFont="1" applyBorder="1" applyAlignment="1">
      <alignment horizontal="left" vertical="center" wrapText="1" inden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8" borderId="0" xfId="0" applyNumberFormat="1" applyFont="1" applyFill="1" applyAlignment="1">
      <alignment horizontal="center" vertical="center" wrapText="1"/>
    </xf>
    <xf numFmtId="0" fontId="25"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left" vertical="top" wrapText="1" indent="1"/>
    </xf>
    <xf numFmtId="0" fontId="74"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0" xfId="0" applyNumberFormat="1" applyFont="1" applyBorder="1" applyAlignment="1">
      <alignment horizontal="left" vertical="top" wrapText="1" indent="1"/>
    </xf>
    <xf numFmtId="0" fontId="0" fillId="0" borderId="27" xfId="0" applyNumberFormat="1" applyFont="1" applyBorder="1" applyAlignment="1">
      <alignment horizontal="left" vertical="top" wrapTex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0" fontId="5" fillId="7" borderId="3" xfId="0" applyNumberFormat="1" applyFont="1" applyFill="1" applyBorder="1" applyAlignment="1">
      <alignment horizontal="left" vertical="center" wrapText="1" indent="1"/>
    </xf>
    <xf numFmtId="0" fontId="17" fillId="0" borderId="18" xfId="0" applyNumberFormat="1" applyFont="1" applyBorder="1" applyAlignment="1">
      <alignment horizontal="center" vertical="center" wrapText="1"/>
    </xf>
    <xf numFmtId="0" fontId="25" fillId="0" borderId="8" xfId="0" applyNumberFormat="1" applyFont="1" applyBorder="1" applyAlignment="1">
      <alignment horizontal="left" vertical="top" wrapText="1"/>
    </xf>
    <xf numFmtId="0" fontId="25" fillId="0" borderId="27" xfId="0" applyNumberFormat="1" applyFont="1" applyBorder="1" applyAlignment="1">
      <alignment horizontal="left" vertical="top" wrapText="1"/>
    </xf>
    <xf numFmtId="0" fontId="25" fillId="0" borderId="14" xfId="0" applyNumberFormat="1" applyFont="1" applyBorder="1" applyAlignment="1">
      <alignment horizontal="left" vertical="top" wrapText="1"/>
    </xf>
    <xf numFmtId="0" fontId="27"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7" fillId="0" borderId="3" xfId="0" applyNumberFormat="1" applyFont="1" applyBorder="1" applyAlignment="1">
      <alignment horizontal="center" vertical="center"/>
    </xf>
    <xf numFmtId="0" fontId="27" fillId="0" borderId="5" xfId="0" applyNumberFormat="1" applyFont="1" applyBorder="1" applyAlignment="1">
      <alignment horizontal="center" vertical="center"/>
    </xf>
    <xf numFmtId="168" fontId="5" fillId="7" borderId="3" xfId="0" applyNumberFormat="1" applyFont="1" applyFill="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27" fillId="0" borderId="3" xfId="0" applyNumberFormat="1" applyFont="1" applyBorder="1" applyAlignment="1">
      <alignment horizontal="center" vertical="center" wrapText="1"/>
    </xf>
    <xf numFmtId="49" fontId="27" fillId="0" borderId="3"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0" fillId="10" borderId="8" xfId="0" applyNumberFormat="1" applyFont="1" applyFill="1" applyBorder="1" applyAlignment="1">
      <alignment horizontal="center" vertical="center" textRotation="90" wrapText="1"/>
    </xf>
    <xf numFmtId="49" fontId="20" fillId="10" borderId="27" xfId="0" applyNumberFormat="1" applyFont="1" applyFill="1" applyBorder="1" applyAlignment="1">
      <alignment horizontal="center" vertical="center" textRotation="90" wrapText="1"/>
    </xf>
    <xf numFmtId="49" fontId="20" fillId="10" borderId="14" xfId="0" applyNumberFormat="1" applyFont="1" applyFill="1" applyBorder="1" applyAlignment="1">
      <alignment horizontal="center" vertical="center" textRotation="90" wrapText="1"/>
    </xf>
    <xf numFmtId="0" fontId="27" fillId="0" borderId="8"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7" fillId="0" borderId="5" xfId="0" applyNumberFormat="1" applyFont="1" applyBorder="1" applyAlignment="1">
      <alignment horizontal="center" vertical="center" wrapText="1"/>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0" fillId="8" borderId="10" xfId="0" applyNumberFormat="1" applyFont="1" applyFill="1" applyBorder="1" applyAlignment="1">
      <alignment horizontal="center" vertical="center" wrapText="1"/>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8" fillId="0" borderId="5" xfId="0" applyNumberFormat="1" applyFont="1" applyBorder="1" applyAlignment="1">
      <alignment horizontal="left" vertical="center" wrapText="1"/>
    </xf>
    <xf numFmtId="0" fontId="28" fillId="0" borderId="6" xfId="0" applyNumberFormat="1" applyFont="1" applyBorder="1" applyAlignment="1">
      <alignment horizontal="left" vertical="center" wrapText="1"/>
    </xf>
    <xf numFmtId="0" fontId="28" fillId="0" borderId="4" xfId="0" applyNumberFormat="1" applyFont="1" applyBorder="1" applyAlignment="1">
      <alignment horizontal="left" vertical="center" wrapText="1"/>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8" fillId="0" borderId="3"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13" borderId="11" xfId="0" applyNumberFormat="1" applyFont="1" applyFill="1" applyBorder="1" applyAlignment="1">
      <alignment horizontal="left"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17"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15" xfId="0" applyNumberFormat="1" applyFont="1" applyFill="1" applyBorder="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28" fillId="0" borderId="15" xfId="0" applyNumberFormat="1" applyFont="1" applyBorder="1" applyAlignment="1">
      <alignment horizontal="center" vertical="top" wrapText="1"/>
    </xf>
    <xf numFmtId="49" fontId="5" fillId="0" borderId="3" xfId="0" applyNumberFormat="1" applyFont="1" applyBorder="1" applyAlignment="1">
      <alignment horizontal="left" vertical="center" wrapText="1" indent="1"/>
    </xf>
    <xf numFmtId="0" fontId="5" fillId="12" borderId="4" xfId="0" applyNumberFormat="1" applyFont="1" applyFill="1" applyBorder="1" applyAlignment="1" applyProtection="1">
      <alignment horizontal="center" vertical="center" wrapText="1"/>
      <protection locked="0"/>
    </xf>
    <xf numFmtId="0" fontId="0" fillId="8" borderId="5" xfId="0" applyNumberFormat="1" applyFont="1" applyFill="1" applyBorder="1" applyAlignment="1">
      <alignment horizontal="right" vertical="center" wrapText="1" indent="1"/>
    </xf>
    <xf numFmtId="0" fontId="0" fillId="8" borderId="4" xfId="0" applyNumberFormat="1" applyFont="1" applyFill="1" applyBorder="1" applyAlignment="1">
      <alignment horizontal="right" vertical="center" wrapText="1" indent="1"/>
    </xf>
    <xf numFmtId="0" fontId="25" fillId="0" borderId="3" xfId="0" applyNumberFormat="1" applyFont="1" applyBorder="1" applyAlignment="1">
      <alignment horizontal="left" vertical="top" wrapTex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0" fontId="28"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72" fillId="19" borderId="0" xfId="0" applyNumberFormat="1" applyFont="1" applyFill="1" applyAlignment="1">
      <alignment horizontal="center" vertical="center" textRotation="90" wrapText="1"/>
    </xf>
    <xf numFmtId="49" fontId="72" fillId="0" borderId="0" xfId="0" applyNumberFormat="1" applyFont="1" applyAlignment="1">
      <alignment horizontal="center" vertical="center" wrapText="1"/>
    </xf>
    <xf numFmtId="0" fontId="28" fillId="0" borderId="0" xfId="0" applyNumberFormat="1" applyFont="1" applyAlignment="1">
      <alignment vertical="center" wrapText="1"/>
    </xf>
    <xf numFmtId="0" fontId="53" fillId="0" borderId="0" xfId="0" applyNumberFormat="1" applyFont="1" applyAlignment="1">
      <alignment horizontal="center" vertical="center" wrapText="1"/>
    </xf>
    <xf numFmtId="49" fontId="17"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5" fillId="0" borderId="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0" fillId="12" borderId="3" xfId="0" applyNumberFormat="1" applyFont="1" applyFill="1" applyBorder="1" applyAlignment="1" applyProtection="1">
      <alignment horizontal="left" vertical="center" wrapText="1"/>
      <protection locked="0"/>
    </xf>
    <xf numFmtId="49" fontId="0" fillId="0" borderId="27" xfId="0" applyNumberFormat="1" applyFont="1" applyBorder="1">
      <alignment vertical="top"/>
    </xf>
    <xf numFmtId="49" fontId="0" fillId="0" borderId="0" xfId="0" applyNumberFormat="1" applyFont="1">
      <alignmen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0" fillId="7" borderId="3" xfId="0" applyNumberFormat="1" applyFont="1" applyFill="1" applyBorder="1" applyAlignment="1">
      <alignment horizontal="left" vertical="center" wrapText="1" indent="1"/>
    </xf>
    <xf numFmtId="0" fontId="27" fillId="0" borderId="0" xfId="0" applyNumberFormat="1" applyFont="1" applyAlignment="1">
      <alignment horizontal="center" vertical="top"/>
    </xf>
    <xf numFmtId="0" fontId="5" fillId="0" borderId="14" xfId="0" applyNumberFormat="1" applyFont="1" applyBorder="1" applyAlignment="1">
      <alignment horizontal="left" vertical="center" wrapText="1"/>
    </xf>
    <xf numFmtId="0" fontId="25" fillId="0" borderId="0" xfId="0" applyNumberFormat="1" applyFont="1" applyAlignment="1">
      <alignment horizontal="left" vertical="top" wrapText="1"/>
    </xf>
    <xf numFmtId="49" fontId="28" fillId="0" borderId="8" xfId="0" applyNumberFormat="1" applyFont="1" applyBorder="1" applyAlignment="1">
      <alignment horizontal="center" vertical="center" wrapText="1"/>
    </xf>
    <xf numFmtId="49" fontId="28" fillId="0" borderId="27" xfId="0" applyNumberFormat="1" applyFont="1" applyBorder="1" applyAlignment="1">
      <alignment horizontal="center" vertical="center" wrapText="1"/>
    </xf>
    <xf numFmtId="49" fontId="28" fillId="0" borderId="14"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8" fillId="0" borderId="6" xfId="0" applyNumberFormat="1" applyFont="1" applyBorder="1" applyAlignment="1">
      <alignment horizontal="right" vertical="center" wrapText="1" indent="1"/>
    </xf>
    <xf numFmtId="0" fontId="28"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1" borderId="0" xfId="0" applyNumberFormat="1" applyFont="1" applyFill="1" applyAlignment="1">
      <alignment horizontal="center" vertical="center" textRotation="90"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5" fillId="0" borderId="15" xfId="0" applyNumberFormat="1" applyFont="1" applyBorder="1" applyAlignment="1">
      <alignment vertical="top" wrapText="1"/>
    </xf>
    <xf numFmtId="49" fontId="5" fillId="13" borderId="3" xfId="0" applyNumberFormat="1" applyFont="1" applyFill="1" applyBorder="1" applyAlignment="1">
      <alignment horizontal="left" vertical="top"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49"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5" fillId="0" borderId="3" xfId="0" applyNumberFormat="1" applyFont="1" applyBorder="1" applyAlignment="1">
      <alignment horizontal="left" vertical="center" wrapText="1"/>
    </xf>
    <xf numFmtId="49" fontId="5" fillId="0" borderId="5"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13" borderId="5" xfId="0" applyNumberFormat="1" applyFont="1" applyFill="1" applyBorder="1" applyAlignment="1">
      <alignment horizontal="center" vertical="center" wrapText="1"/>
    </xf>
    <xf numFmtId="14" fontId="5" fillId="13" borderId="27" xfId="0" applyNumberFormat="1" applyFont="1" applyFill="1" applyBorder="1" applyAlignment="1">
      <alignment horizontal="left" vertical="center" wrapText="1" indent="1"/>
    </xf>
    <xf numFmtId="1" fontId="5" fillId="9" borderId="3" xfId="0" applyNumberFormat="1" applyFont="1" applyFill="1" applyBorder="1" applyAlignment="1" applyProtection="1">
      <alignment horizontal="center" vertical="center" wrapText="1"/>
      <protection locked="0"/>
    </xf>
    <xf numFmtId="1" fontId="5" fillId="9" borderId="54" xfId="0" applyNumberFormat="1" applyFont="1" applyFill="1" applyBorder="1" applyAlignment="1" applyProtection="1">
      <alignment vertical="center" wrapText="1"/>
      <protection locked="0"/>
    </xf>
    <xf numFmtId="14" fontId="5" fillId="13" borderId="13" xfId="0" applyNumberFormat="1" applyFont="1" applyFill="1" applyBorder="1" applyAlignment="1">
      <alignment horizontal="left" vertical="center" wrapText="1" indent="1"/>
    </xf>
    <xf numFmtId="49" fontId="104" fillId="0" borderId="3" xfId="0" applyNumberFormat="1" applyFont="1" applyBorder="1" applyAlignment="1">
      <alignment horizontal="center" vertical="center" wrapText="1"/>
    </xf>
    <xf numFmtId="0" fontId="25" fillId="0" borderId="4"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3" borderId="4" xfId="0" applyNumberFormat="1" applyFont="1" applyFill="1" applyBorder="1" applyAlignment="1">
      <alignment horizontal="left" vertical="center" wrapText="1"/>
    </xf>
    <xf numFmtId="49"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1" fontId="5" fillId="12" borderId="3" xfId="0" applyNumberFormat="1" applyFont="1" applyFill="1" applyBorder="1" applyAlignment="1" applyProtection="1">
      <alignment horizontal="center" vertical="center" wrapText="1"/>
      <protection locked="0"/>
    </xf>
    <xf numFmtId="1" fontId="5" fillId="12" borderId="54" xfId="0" applyNumberFormat="1" applyFont="1" applyFill="1" applyBorder="1" applyAlignment="1" applyProtection="1">
      <alignment vertical="center" wrapText="1"/>
      <protection locked="0"/>
    </xf>
    <xf numFmtId="49" fontId="5" fillId="13" borderId="3" xfId="0" applyNumberFormat="1" applyFont="1" applyFill="1" applyBorder="1" applyAlignment="1">
      <alignment horizontal="left" vertical="center" wrapText="1"/>
    </xf>
    <xf numFmtId="49" fontId="20"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6" xfId="0" applyNumberFormat="1" applyFont="1" applyFill="1" applyBorder="1" applyAlignment="1">
      <alignment horizontal="center" vertical="center" wrapText="1"/>
    </xf>
    <xf numFmtId="3" fontId="27" fillId="0" borderId="3" xfId="0" applyNumberFormat="1" applyFont="1" applyBorder="1" applyAlignment="1">
      <alignment horizontal="center" vertical="center" wrapText="1"/>
    </xf>
    <xf numFmtId="49" fontId="27" fillId="0" borderId="5" xfId="0" applyNumberFormat="1" applyFont="1" applyBorder="1" applyAlignment="1">
      <alignment horizontal="center" vertical="center" wrapText="1"/>
    </xf>
    <xf numFmtId="49" fontId="27" fillId="0" borderId="3" xfId="0" applyNumberFormat="1" applyFont="1" applyBorder="1" applyAlignment="1">
      <alignment horizontal="left" vertical="center" wrapText="1"/>
    </xf>
    <xf numFmtId="49" fontId="27" fillId="0" borderId="4" xfId="0" applyNumberFormat="1" applyFont="1" applyBorder="1" applyAlignment="1">
      <alignment horizontal="center" vertical="center" wrapText="1"/>
    </xf>
    <xf numFmtId="49" fontId="27" fillId="0" borderId="4" xfId="0" applyNumberFormat="1" applyFont="1" applyBorder="1" applyAlignment="1">
      <alignment horizontal="left" vertical="center" wrapText="1"/>
    </xf>
    <xf numFmtId="49" fontId="106" fillId="0" borderId="4" xfId="0" applyNumberFormat="1" applyFont="1" applyBorder="1" applyAlignment="1">
      <alignment horizontal="center" vertical="center" wrapText="1"/>
    </xf>
    <xf numFmtId="0" fontId="75" fillId="0" borderId="3" xfId="0" applyNumberFormat="1" applyFont="1" applyBorder="1" applyAlignment="1">
      <alignment horizontal="center" vertical="center"/>
    </xf>
    <xf numFmtId="49" fontId="27" fillId="0" borderId="8" xfId="0" applyNumberFormat="1" applyFont="1" applyBorder="1" applyAlignment="1">
      <alignment horizontal="left" vertical="center" wrapText="1" indent="1"/>
    </xf>
    <xf numFmtId="49" fontId="27" fillId="0" borderId="27" xfId="0" applyNumberFormat="1" applyFont="1" applyBorder="1" applyAlignment="1">
      <alignment horizontal="left" vertical="center" wrapText="1" indent="1"/>
    </xf>
    <xf numFmtId="49" fontId="27" fillId="0" borderId="14" xfId="0" applyNumberFormat="1" applyFont="1" applyBorder="1" applyAlignment="1">
      <alignment horizontal="left" vertical="center" wrapText="1" indent="1"/>
    </xf>
    <xf numFmtId="49" fontId="0" fillId="7" borderId="27" xfId="0" applyNumberFormat="1" applyFont="1" applyFill="1" applyBorder="1">
      <alignment vertical="top"/>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9" xfId="0" applyNumberFormat="1" applyFont="1" applyBorder="1" applyAlignment="1">
      <alignment horizontal="center" vertical="center"/>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0" fillId="7" borderId="3" xfId="0" applyNumberFormat="1" applyFont="1" applyFill="1" applyBorder="1" applyAlignment="1">
      <alignment horizontal="center" vertical="center" wrapText="1"/>
    </xf>
    <xf numFmtId="0" fontId="5" fillId="0" borderId="65"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9" fontId="5" fillId="0" borderId="6"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27" fillId="20" borderId="5" xfId="0" applyNumberFormat="1" applyFont="1" applyFill="1" applyBorder="1" applyAlignment="1">
      <alignment horizontal="center" vertical="center" wrapText="1"/>
    </xf>
    <xf numFmtId="49" fontId="27" fillId="20" borderId="6" xfId="0" applyNumberFormat="1" applyFont="1" applyFill="1" applyBorder="1" applyAlignment="1">
      <alignment horizontal="center" vertical="center" wrapText="1"/>
    </xf>
    <xf numFmtId="49" fontId="27" fillId="20" borderId="4" xfId="0" applyNumberFormat="1" applyFont="1" applyFill="1" applyBorder="1" applyAlignment="1">
      <alignment horizontal="center" vertical="center" wrapText="1"/>
    </xf>
    <xf numFmtId="49" fontId="27" fillId="23" borderId="5" xfId="0" applyNumberFormat="1" applyFont="1" applyFill="1" applyBorder="1" applyAlignment="1">
      <alignment horizontal="center" vertical="center" wrapText="1"/>
    </xf>
    <xf numFmtId="49" fontId="27" fillId="23" borderId="6" xfId="0" applyNumberFormat="1" applyFont="1" applyFill="1" applyBorder="1" applyAlignment="1">
      <alignment horizontal="center" vertical="center" wrapText="1"/>
    </xf>
    <xf numFmtId="49" fontId="27" fillId="23" borderId="4"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0" fontId="0" fillId="0" borderId="3" xfId="0" applyNumberFormat="1" applyFont="1" applyBorder="1" applyAlignment="1">
      <alignment horizontal="left" vertical="center" wrapText="1"/>
    </xf>
    <xf numFmtId="0" fontId="19" fillId="8" borderId="15" xfId="0" applyNumberFormat="1" applyFont="1" applyFill="1" applyBorder="1" applyAlignment="1">
      <alignment horizontal="center" vertical="top" wrapTex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5" fillId="0" borderId="6" xfId="0" applyNumberFormat="1" applyFont="1" applyBorder="1" applyAlignment="1">
      <alignment horizontal="left" vertical="top" wrapText="1" indent="1"/>
    </xf>
    <xf numFmtId="0" fontId="19" fillId="8" borderId="0" xfId="0" applyNumberFormat="1" applyFont="1" applyFill="1" applyAlignment="1">
      <alignment horizontal="center" vertical="top" wrapText="1"/>
    </xf>
    <xf numFmtId="49" fontId="16"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3" xfId="0" applyNumberFormat="1" applyFont="1" applyBorder="1" applyAlignment="1">
      <alignment horizontal="left" vertical="top" wrapText="1"/>
    </xf>
    <xf numFmtId="49" fontId="108"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5"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10" xfId="0" applyNumberFormat="1" applyFont="1" applyFill="1" applyBorder="1" applyAlignment="1">
      <alignment horizontal="left" vertical="center"/>
    </xf>
    <xf numFmtId="0" fontId="20" fillId="10" borderId="11" xfId="0" applyNumberFormat="1" applyFont="1" applyFill="1" applyBorder="1" applyAlignment="1">
      <alignment horizontal="left" vertical="center"/>
    </xf>
    <xf numFmtId="49" fontId="5" fillId="12" borderId="8" xfId="0" applyNumberFormat="1" applyFont="1" applyFill="1" applyBorder="1" applyAlignment="1" applyProtection="1">
      <alignment horizontal="left" vertical="center" wrapText="1"/>
      <protection locked="0"/>
    </xf>
    <xf numFmtId="49" fontId="5" fillId="0" borderId="27"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0" fillId="9" borderId="3" xfId="0" applyNumberFormat="1" applyFont="1" applyFill="1" applyBorder="1" applyAlignment="1" applyProtection="1">
      <alignment horizontal="left" vertical="top"/>
      <protection locked="0"/>
    </xf>
    <xf numFmtId="0" fontId="56" fillId="0" borderId="3" xfId="0" applyNumberFormat="1" applyFont="1" applyBorder="1" applyAlignment="1">
      <alignment horizontal="left" vertical="center" wrapText="1" indent="1"/>
    </xf>
    <xf numFmtId="0" fontId="56" fillId="0" borderId="3" xfId="0" applyNumberFormat="1" applyFont="1" applyBorder="1" applyAlignment="1">
      <alignment horizontal="left" vertical="top" indent="1"/>
    </xf>
    <xf numFmtId="0" fontId="25" fillId="0" borderId="3" xfId="0" applyNumberFormat="1" applyFont="1" applyBorder="1" applyAlignment="1">
      <alignment horizontal="center" vertical="center"/>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21" xfId="0" applyNumberFormat="1" applyFont="1" applyBorder="1" applyAlignment="1">
      <alignment horizontal="center" vertical="top" wrapText="1"/>
    </xf>
    <xf numFmtId="49" fontId="76" fillId="0" borderId="5" xfId="0" applyNumberFormat="1" applyFont="1" applyBorder="1" applyAlignment="1">
      <alignment horizontal="center" vertical="top" wrapText="1"/>
    </xf>
    <xf numFmtId="49" fontId="76" fillId="0" borderId="6" xfId="0" applyNumberFormat="1" applyFont="1" applyBorder="1" applyAlignment="1">
      <alignment horizontal="center" vertical="top" wrapText="1"/>
    </xf>
    <xf numFmtId="49" fontId="76" fillId="0" borderId="4"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76" fillId="0" borderId="27" xfId="0" applyNumberFormat="1" applyFont="1" applyBorder="1" applyAlignment="1">
      <alignment horizontal="center" vertical="top" wrapText="1"/>
    </xf>
    <xf numFmtId="49" fontId="76" fillId="0" borderId="14" xfId="0" applyNumberFormat="1" applyFont="1" applyBorder="1" applyAlignment="1">
      <alignment horizontal="center" vertical="top" wrapText="1"/>
    </xf>
    <xf numFmtId="0" fontId="26" fillId="0" borderId="10" xfId="0" applyNumberFormat="1" applyFont="1" applyBorder="1" applyAlignment="1">
      <alignment horizontal="left" vertical="center" wrapText="1" indent="1"/>
    </xf>
    <xf numFmtId="0" fontId="26" fillId="0" borderId="18" xfId="0" applyNumberFormat="1" applyFont="1" applyBorder="1" applyAlignment="1">
      <alignment horizontal="left" vertical="center" wrapText="1" indent="1"/>
    </xf>
    <xf numFmtId="0" fontId="5" fillId="0" borderId="0" xfId="0" applyNumberFormat="1" applyFont="1" applyAlignment="1">
      <alignment horizontal="right" vertical="center" wrapText="1"/>
    </xf>
    <xf numFmtId="4" fontId="5" fillId="7" borderId="3" xfId="0" applyNumberFormat="1" applyFont="1" applyFill="1" applyBorder="1" applyAlignment="1">
      <alignment horizontal="left" vertical="center" wrapTex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16</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76200</xdr:rowOff>
    </xdr:from>
    <xdr:to>
      <xdr:col>4</xdr:col>
      <xdr:colOff>314516</xdr:colOff>
      <xdr:row>30</xdr:row>
      <xdr:rowOff>76391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3" Type="http://schemas.openxmlformats.org/officeDocument/2006/relationships/hyperlink" Target="https://portal.eias.ru/Portal/DownloadPage.aspx?type=12&amp;guid=5ba91a36-68ce-4326-8a4b-fa7b051bbd9d" TargetMode="External"/><Relationship Id="rId7" Type="http://schemas.openxmlformats.org/officeDocument/2006/relationships/printerSettings" Target="../printerSettings/printerSettings1.bin"/><Relationship Id="rId2" Type="http://schemas.openxmlformats.org/officeDocument/2006/relationships/hyperlink" Target="https://portal.eias.ru/Portal/DownloadPage.aspx?type=12&amp;guid=5ba91a36-68ce-4326-8a4b-fa7b051bbd9d" TargetMode="External"/><Relationship Id="rId1" Type="http://schemas.openxmlformats.org/officeDocument/2006/relationships/hyperlink" Target="https://portal.eias.ru/Portal/DownloadPage.aspx?type=12&amp;guid=5ba91a36-68ce-4326-8a4b-fa7b051bbd9d" TargetMode="External"/><Relationship Id="rId6" Type="http://schemas.openxmlformats.org/officeDocument/2006/relationships/hyperlink" Target="https://portal.eias.ru/Portal/DownloadPage.aspx?type=12&amp;guid=5ba91a36-68ce-4326-8a4b-fa7b051bbd9d" TargetMode="External"/><Relationship Id="rId5" Type="http://schemas.openxmlformats.org/officeDocument/2006/relationships/hyperlink" Target="https://portal.eias.ru/Portal/DownloadPage.aspx?type=12&amp;guid=5ba91a36-68ce-4326-8a4b-fa7b051bbd9d" TargetMode="External"/><Relationship Id="rId4" Type="http://schemas.openxmlformats.org/officeDocument/2006/relationships/hyperlink" Target="https://portal.eias.ru/Portal/DownloadPage.aspx?type=12&amp;guid=5ba91a36-68ce-4326-8a4b-fa7b051bbd9d"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2325" customWidth="1"/>
    <col min="2" max="2" width="9.140625" style="2325" customWidth="1"/>
    <col min="3" max="3" width="16.42578125" style="2325" customWidth="1"/>
    <col min="4" max="25" width="6.28515625" style="2325" customWidth="1"/>
    <col min="26" max="28" width="11" style="2325"/>
  </cols>
  <sheetData>
    <row r="1" spans="1:28" ht="15.75" customHeight="1">
      <c r="A1" s="1622"/>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4"/>
      <c r="Z1" s="1623"/>
      <c r="AA1" s="1625" t="s">
        <v>0</v>
      </c>
      <c r="AB1" s="1623"/>
    </row>
    <row r="2" spans="1:28" ht="17.25" customHeight="1">
      <c r="A2" s="1623"/>
      <c r="B2" s="2331" t="s">
        <v>1</v>
      </c>
      <c r="C2" s="2331"/>
      <c r="D2" s="2331"/>
      <c r="E2" s="2331"/>
      <c r="F2" s="2331"/>
      <c r="G2" s="2331"/>
      <c r="H2" s="2331"/>
      <c r="I2" s="2331"/>
      <c r="J2" s="2331"/>
      <c r="K2" s="2331"/>
      <c r="L2" s="2331"/>
      <c r="M2" s="2331"/>
      <c r="N2" s="2331"/>
      <c r="O2" s="2331"/>
      <c r="P2" s="2331"/>
      <c r="Q2" s="1626"/>
      <c r="R2" s="1626"/>
      <c r="S2" s="1626"/>
      <c r="T2" s="1626"/>
      <c r="U2" s="1626"/>
      <c r="V2" s="1627"/>
      <c r="W2" s="1626"/>
      <c r="X2" s="1626"/>
      <c r="Y2" s="1624"/>
      <c r="Z2" s="1623"/>
      <c r="AA2" s="1625"/>
      <c r="AB2" s="1623"/>
    </row>
    <row r="3" spans="1:28" ht="15.75" customHeight="1">
      <c r="A3" s="1623"/>
      <c r="B3" s="2332" t="s">
        <v>2</v>
      </c>
      <c r="C3" s="2332"/>
      <c r="D3" s="2332"/>
      <c r="E3" s="2332"/>
      <c r="F3" s="2332"/>
      <c r="G3" s="2332"/>
      <c r="H3" s="2332"/>
      <c r="I3" s="2332"/>
      <c r="J3" s="2332"/>
      <c r="K3" s="2332"/>
      <c r="L3" s="2332"/>
      <c r="M3" s="2332"/>
      <c r="N3" s="2332"/>
      <c r="O3" s="2332"/>
      <c r="P3" s="2332"/>
      <c r="Q3" s="1627"/>
      <c r="R3" s="1627"/>
      <c r="S3" s="1626"/>
      <c r="T3" s="1626"/>
      <c r="U3" s="1626"/>
      <c r="V3" s="1627"/>
      <c r="W3" s="1627"/>
      <c r="X3" s="1627"/>
      <c r="Y3" s="1627"/>
      <c r="Z3" s="1623"/>
      <c r="AA3" s="1625"/>
      <c r="AB3" s="1623"/>
    </row>
    <row r="4" spans="1:28" ht="17.25" customHeight="1">
      <c r="A4" s="1623"/>
      <c r="B4" s="1628"/>
      <c r="C4" s="1623"/>
      <c r="D4" s="1627"/>
      <c r="E4" s="1627"/>
      <c r="F4" s="1627"/>
      <c r="G4" s="1627"/>
      <c r="H4" s="1627"/>
      <c r="I4" s="1627"/>
      <c r="J4" s="1627"/>
      <c r="K4" s="1627"/>
      <c r="L4" s="1627"/>
      <c r="M4" s="1627"/>
      <c r="N4" s="1627"/>
      <c r="O4" s="1627"/>
      <c r="P4" s="1627"/>
      <c r="Q4" s="1627"/>
      <c r="R4" s="1627"/>
      <c r="S4" s="1627"/>
      <c r="T4" s="1627"/>
      <c r="U4" s="1627"/>
      <c r="V4" s="1627"/>
      <c r="W4" s="1627"/>
      <c r="X4" s="1627"/>
      <c r="Y4" s="1627"/>
      <c r="Z4" s="1623"/>
      <c r="AA4" s="1625"/>
      <c r="AB4" s="1623"/>
    </row>
    <row r="5" spans="1:28" ht="22.5" customHeight="1">
      <c r="A5" s="1629"/>
      <c r="B5" s="2333"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334"/>
      <c r="D5" s="2334"/>
      <c r="E5" s="2334"/>
      <c r="F5" s="2334"/>
      <c r="G5" s="2334"/>
      <c r="H5" s="2334"/>
      <c r="I5" s="2334"/>
      <c r="J5" s="2334"/>
      <c r="K5" s="2334"/>
      <c r="L5" s="2334"/>
      <c r="M5" s="2334"/>
      <c r="N5" s="2334"/>
      <c r="O5" s="2334"/>
      <c r="P5" s="2334"/>
      <c r="Q5" s="2334"/>
      <c r="R5" s="2334"/>
      <c r="S5" s="2334"/>
      <c r="T5" s="2334"/>
      <c r="U5" s="2334"/>
      <c r="V5" s="2334"/>
      <c r="W5" s="2334"/>
      <c r="X5" s="2334"/>
      <c r="Y5" s="2335"/>
      <c r="Z5" s="1629"/>
      <c r="AA5" s="1625"/>
      <c r="AB5" s="1629"/>
    </row>
    <row r="6" spans="1:28" ht="15" customHeight="1">
      <c r="A6" s="1630"/>
      <c r="B6" s="2336" t="s">
        <v>3</v>
      </c>
      <c r="C6" s="2337"/>
      <c r="D6" s="1631"/>
      <c r="E6" s="1631"/>
      <c r="F6" s="1631"/>
      <c r="G6" s="1631"/>
      <c r="H6" s="1631"/>
      <c r="I6" s="1631"/>
      <c r="J6" s="1631"/>
      <c r="K6" s="1631"/>
      <c r="L6" s="1631"/>
      <c r="M6" s="1631"/>
      <c r="N6" s="1631"/>
      <c r="O6" s="1631"/>
      <c r="P6" s="1631"/>
      <c r="Q6" s="1631"/>
      <c r="R6" s="1631"/>
      <c r="S6" s="1631"/>
      <c r="T6" s="1631"/>
      <c r="U6" s="1631"/>
      <c r="V6" s="1631"/>
      <c r="W6" s="1631"/>
      <c r="X6" s="1631"/>
      <c r="Y6" s="1632"/>
      <c r="Z6" s="1633"/>
      <c r="AA6" s="1634"/>
      <c r="AB6" s="1634"/>
    </row>
    <row r="7" spans="1:28" ht="15" customHeight="1">
      <c r="A7" s="1630"/>
      <c r="B7" s="2336"/>
      <c r="C7" s="2337"/>
      <c r="D7" s="1631"/>
      <c r="E7" s="1631"/>
      <c r="F7" s="1635"/>
      <c r="G7" s="1635"/>
      <c r="H7" s="1635"/>
      <c r="I7" s="1635"/>
      <c r="J7" s="1635"/>
      <c r="K7" s="1635"/>
      <c r="L7" s="1635"/>
      <c r="M7" s="1635"/>
      <c r="N7" s="1635"/>
      <c r="O7" s="1631"/>
      <c r="P7" s="1635"/>
      <c r="Q7" s="1635"/>
      <c r="R7" s="1635"/>
      <c r="S7" s="1635"/>
      <c r="T7" s="1635"/>
      <c r="U7" s="1635"/>
      <c r="V7" s="1635"/>
      <c r="W7" s="1635"/>
      <c r="X7" s="1635"/>
      <c r="Y7" s="1632"/>
      <c r="Z7" s="1633"/>
      <c r="AA7" s="1634"/>
      <c r="AB7" s="1634"/>
    </row>
    <row r="8" spans="1:28" ht="15" customHeight="1">
      <c r="A8" s="1630"/>
      <c r="B8" s="2336"/>
      <c r="C8" s="2337"/>
      <c r="D8" s="1636"/>
      <c r="E8" s="1637" t="s">
        <v>4</v>
      </c>
      <c r="F8" s="2339" t="s">
        <v>5</v>
      </c>
      <c r="G8" s="2340"/>
      <c r="H8" s="2340"/>
      <c r="I8" s="2340"/>
      <c r="J8" s="2340"/>
      <c r="K8" s="2340"/>
      <c r="L8" s="2340"/>
      <c r="M8" s="2340"/>
      <c r="N8" s="1636"/>
      <c r="O8" s="1638" t="s">
        <v>4</v>
      </c>
      <c r="P8" s="2341" t="s">
        <v>6</v>
      </c>
      <c r="Q8" s="2342"/>
      <c r="R8" s="2342"/>
      <c r="S8" s="2342"/>
      <c r="T8" s="2342"/>
      <c r="U8" s="2342"/>
      <c r="V8" s="2342"/>
      <c r="W8" s="2342"/>
      <c r="X8" s="2342"/>
      <c r="Y8" s="1632"/>
      <c r="Z8" s="1633"/>
      <c r="AA8" s="1634"/>
      <c r="AB8" s="1634"/>
    </row>
    <row r="9" spans="1:28" ht="15" customHeight="1">
      <c r="A9" s="1630"/>
      <c r="B9" s="2336"/>
      <c r="C9" s="2337"/>
      <c r="D9" s="1636"/>
      <c r="E9" s="1639" t="s">
        <v>4</v>
      </c>
      <c r="F9" s="2339" t="s">
        <v>7</v>
      </c>
      <c r="G9" s="2340"/>
      <c r="H9" s="2340"/>
      <c r="I9" s="2340"/>
      <c r="J9" s="2340"/>
      <c r="K9" s="2340"/>
      <c r="L9" s="2340"/>
      <c r="M9" s="2340"/>
      <c r="N9" s="1636"/>
      <c r="O9" s="1640" t="s">
        <v>4</v>
      </c>
      <c r="P9" s="2341" t="s">
        <v>8</v>
      </c>
      <c r="Q9" s="2342"/>
      <c r="R9" s="2342"/>
      <c r="S9" s="2342"/>
      <c r="T9" s="2342"/>
      <c r="U9" s="2342"/>
      <c r="V9" s="2342"/>
      <c r="W9" s="2342"/>
      <c r="X9" s="2342"/>
      <c r="Y9" s="1632"/>
      <c r="Z9" s="1633"/>
      <c r="AA9" s="1634"/>
      <c r="AB9" s="1634"/>
    </row>
    <row r="10" spans="1:28" ht="30" customHeight="1">
      <c r="A10" s="1630"/>
      <c r="B10" s="2336"/>
      <c r="C10" s="2338"/>
      <c r="D10" s="1641"/>
      <c r="E10" s="1642"/>
      <c r="F10" s="1635"/>
      <c r="G10" s="1635"/>
      <c r="H10" s="1635"/>
      <c r="I10" s="1635"/>
      <c r="J10" s="1635"/>
      <c r="K10" s="1635"/>
      <c r="L10" s="1635"/>
      <c r="M10" s="1635"/>
      <c r="N10" s="1635"/>
      <c r="O10" s="1642"/>
      <c r="P10" s="1635"/>
      <c r="Q10" s="1635"/>
      <c r="R10" s="1635"/>
      <c r="S10" s="1635"/>
      <c r="T10" s="1635"/>
      <c r="U10" s="1635"/>
      <c r="V10" s="1635"/>
      <c r="W10" s="1635"/>
      <c r="X10" s="1635"/>
      <c r="Y10" s="1632"/>
      <c r="Z10" s="1633"/>
      <c r="AA10" s="1634"/>
      <c r="AB10" s="1634"/>
    </row>
    <row r="11" spans="1:28" ht="19.5" customHeight="1">
      <c r="A11" s="1630"/>
      <c r="B11" s="2343" t="s">
        <v>9</v>
      </c>
      <c r="C11" s="2344"/>
      <c r="D11" s="1636"/>
      <c r="E11" s="1643"/>
      <c r="F11" s="1643"/>
      <c r="G11" s="1643"/>
      <c r="H11" s="1643"/>
      <c r="I11" s="1643"/>
      <c r="J11" s="1643"/>
      <c r="K11" s="1643"/>
      <c r="L11" s="1643"/>
      <c r="M11" s="1643"/>
      <c r="N11" s="1643"/>
      <c r="O11" s="1643"/>
      <c r="P11" s="1643"/>
      <c r="Q11" s="1643"/>
      <c r="R11" s="1643"/>
      <c r="S11" s="1643"/>
      <c r="T11" s="1643"/>
      <c r="U11" s="1643"/>
      <c r="V11" s="1643"/>
      <c r="W11" s="1643"/>
      <c r="X11" s="1643"/>
      <c r="Y11" s="1632"/>
      <c r="Z11" s="1633"/>
      <c r="AA11" s="1634"/>
      <c r="AB11" s="1634"/>
    </row>
    <row r="12" spans="1:28" ht="69" customHeight="1">
      <c r="A12" s="1630"/>
      <c r="B12" s="2336"/>
      <c r="C12" s="2338"/>
      <c r="D12" s="1644"/>
      <c r="E12" s="2340" t="s">
        <v>10</v>
      </c>
      <c r="F12" s="2340"/>
      <c r="G12" s="2340"/>
      <c r="H12" s="2340"/>
      <c r="I12" s="2340"/>
      <c r="J12" s="2340"/>
      <c r="K12" s="2340"/>
      <c r="L12" s="2340"/>
      <c r="M12" s="2340"/>
      <c r="N12" s="2340"/>
      <c r="O12" s="2340"/>
      <c r="P12" s="2340"/>
      <c r="Q12" s="2340"/>
      <c r="R12" s="2340"/>
      <c r="S12" s="2340"/>
      <c r="T12" s="2340"/>
      <c r="U12" s="2340"/>
      <c r="V12" s="2340"/>
      <c r="W12" s="2340"/>
      <c r="X12" s="2340"/>
      <c r="Y12" s="1632"/>
      <c r="Z12" s="1633"/>
      <c r="AA12" s="1634"/>
      <c r="AB12" s="1634"/>
    </row>
    <row r="13" spans="1:28" ht="15" customHeight="1">
      <c r="A13" s="1630"/>
      <c r="B13" s="2343" t="s">
        <v>11</v>
      </c>
      <c r="C13" s="2344"/>
      <c r="D13" s="1631"/>
      <c r="E13" s="1643"/>
      <c r="F13" s="1643"/>
      <c r="G13" s="1643"/>
      <c r="H13" s="1643"/>
      <c r="I13" s="1643"/>
      <c r="J13" s="1643"/>
      <c r="K13" s="1643"/>
      <c r="L13" s="1643"/>
      <c r="M13" s="1643"/>
      <c r="N13" s="1643"/>
      <c r="O13" s="1643"/>
      <c r="P13" s="1643"/>
      <c r="Q13" s="1643"/>
      <c r="R13" s="1643"/>
      <c r="S13" s="1643"/>
      <c r="T13" s="1643"/>
      <c r="U13" s="1643"/>
      <c r="V13" s="1643"/>
      <c r="W13" s="1643"/>
      <c r="X13" s="1643"/>
      <c r="Y13" s="1632"/>
      <c r="Z13" s="1633"/>
      <c r="AA13" s="1634"/>
      <c r="AB13" s="1634"/>
    </row>
    <row r="14" spans="1:28" ht="57" customHeight="1">
      <c r="A14" s="1630"/>
      <c r="B14" s="2336"/>
      <c r="C14" s="2337"/>
      <c r="D14" s="1636"/>
      <c r="E14" s="2347" t="s">
        <v>12</v>
      </c>
      <c r="F14" s="2347"/>
      <c r="G14" s="2347"/>
      <c r="H14" s="2347"/>
      <c r="I14" s="2347"/>
      <c r="J14" s="2347"/>
      <c r="K14" s="2347"/>
      <c r="L14" s="2347"/>
      <c r="M14" s="2347"/>
      <c r="N14" s="2347"/>
      <c r="O14" s="2347"/>
      <c r="P14" s="2347"/>
      <c r="Q14" s="2347"/>
      <c r="R14" s="2347"/>
      <c r="S14" s="2347"/>
      <c r="T14" s="2347"/>
      <c r="U14" s="2347"/>
      <c r="V14" s="2347"/>
      <c r="W14" s="2347"/>
      <c r="X14" s="2347"/>
      <c r="Y14" s="1632"/>
      <c r="Z14" s="1633"/>
      <c r="AA14" s="1634"/>
      <c r="AB14" s="1634"/>
    </row>
    <row r="15" spans="1:28" ht="16.5" customHeight="1">
      <c r="A15" s="1630"/>
      <c r="B15" s="2345"/>
      <c r="C15" s="2346"/>
      <c r="D15" s="1645"/>
      <c r="E15" s="1646"/>
      <c r="F15" s="1646"/>
      <c r="G15" s="1646"/>
      <c r="H15" s="1646"/>
      <c r="I15" s="1646"/>
      <c r="J15" s="1646"/>
      <c r="K15" s="1646"/>
      <c r="L15" s="1646"/>
      <c r="M15" s="1646"/>
      <c r="N15" s="1646"/>
      <c r="O15" s="1646"/>
      <c r="P15" s="1646"/>
      <c r="Q15" s="1646"/>
      <c r="R15" s="1646"/>
      <c r="S15" s="1646"/>
      <c r="T15" s="1646"/>
      <c r="U15" s="1646"/>
      <c r="V15" s="1646"/>
      <c r="W15" s="1646"/>
      <c r="X15" s="1646"/>
      <c r="Y15" s="1647"/>
      <c r="Z15" s="1633"/>
      <c r="AA15" s="1648"/>
      <c r="AB15" s="1634"/>
    </row>
    <row r="16" spans="1:28" ht="95.25" customHeight="1">
      <c r="A16" s="1623"/>
      <c r="B16" s="2347"/>
      <c r="C16" s="2348"/>
      <c r="D16" s="2348"/>
      <c r="E16" s="2348"/>
      <c r="F16" s="2348"/>
      <c r="G16" s="2348"/>
      <c r="H16" s="2348"/>
      <c r="I16" s="2348"/>
      <c r="J16" s="2348"/>
      <c r="K16" s="2348"/>
      <c r="L16" s="2348"/>
      <c r="M16" s="2348"/>
      <c r="N16" s="2348"/>
      <c r="O16" s="2348"/>
      <c r="P16" s="2348"/>
      <c r="Q16" s="2348"/>
      <c r="R16" s="2348"/>
      <c r="S16" s="2348"/>
      <c r="T16" s="2348"/>
      <c r="U16" s="2348"/>
      <c r="V16" s="2348"/>
      <c r="W16" s="2348"/>
      <c r="X16" s="2348"/>
      <c r="Y16" s="2348"/>
      <c r="Z16" s="1623"/>
      <c r="AA16" s="1625"/>
      <c r="AB16" s="1623"/>
    </row>
    <row r="17" spans="1:28" ht="14.25" customHeight="1">
      <c r="A17" s="1623"/>
      <c r="B17" s="1623"/>
      <c r="C17" s="1623"/>
      <c r="D17" s="1623"/>
      <c r="E17" s="1623"/>
      <c r="F17" s="1623"/>
      <c r="G17" s="1623"/>
      <c r="H17" s="1623"/>
      <c r="I17" s="1623"/>
      <c r="J17" s="1623"/>
      <c r="K17" s="1623"/>
      <c r="L17" s="1623"/>
      <c r="M17" s="1623"/>
      <c r="N17" s="1623"/>
      <c r="O17" s="1623"/>
      <c r="P17" s="1623"/>
      <c r="Q17" s="1623"/>
      <c r="R17" s="1623"/>
      <c r="S17" s="1623"/>
      <c r="T17" s="1623"/>
      <c r="U17" s="1623"/>
      <c r="V17" s="1623"/>
      <c r="W17" s="1623"/>
      <c r="X17" s="1623"/>
      <c r="Y17" s="1624"/>
      <c r="Z17" s="1623"/>
      <c r="AA17" s="1625"/>
      <c r="AB17" s="1623"/>
    </row>
    <row r="18" spans="1:28" ht="14.25" customHeight="1">
      <c r="A18" s="1623"/>
      <c r="B18" s="1623"/>
      <c r="C18" s="1623"/>
      <c r="D18" s="1623"/>
      <c r="E18" s="1623"/>
      <c r="F18" s="1623"/>
      <c r="G18" s="1623"/>
      <c r="H18" s="1623"/>
      <c r="I18" s="1623"/>
      <c r="J18" s="1623"/>
      <c r="K18" s="1623"/>
      <c r="L18" s="1623"/>
      <c r="M18" s="1623"/>
      <c r="N18" s="1623"/>
      <c r="O18" s="1623"/>
      <c r="P18" s="1623"/>
      <c r="Q18" s="1623"/>
      <c r="R18" s="1623"/>
      <c r="S18" s="1623"/>
      <c r="T18" s="1623"/>
      <c r="U18" s="1623"/>
      <c r="V18" s="1623"/>
      <c r="W18" s="1623"/>
      <c r="X18" s="1623"/>
      <c r="Y18" s="1624"/>
      <c r="Z18" s="1623"/>
      <c r="AA18" s="1625"/>
      <c r="AB18" s="1623"/>
    </row>
    <row r="19" spans="1:28" ht="14.25" customHeight="1">
      <c r="A19" s="1623"/>
      <c r="B19" s="1623"/>
      <c r="C19" s="1623"/>
      <c r="D19" s="1623"/>
      <c r="E19" s="1623"/>
      <c r="F19" s="1623"/>
      <c r="G19" s="1623"/>
      <c r="H19" s="1623"/>
      <c r="I19" s="1623"/>
      <c r="J19" s="1623"/>
      <c r="K19" s="1623"/>
      <c r="L19" s="1623"/>
      <c r="M19" s="1623"/>
      <c r="N19" s="1623"/>
      <c r="O19" s="1623"/>
      <c r="P19" s="1623"/>
      <c r="Q19" s="1623"/>
      <c r="R19" s="1623"/>
      <c r="S19" s="1623"/>
      <c r="T19" s="1623"/>
      <c r="U19" s="1623"/>
      <c r="V19" s="1623"/>
      <c r="W19" s="1623"/>
      <c r="X19" s="1623"/>
      <c r="Y19" s="1624"/>
      <c r="Z19" s="1623"/>
      <c r="AA19" s="1625"/>
      <c r="AB19" s="1623"/>
    </row>
    <row r="20" spans="1:28" ht="14.25" customHeight="1">
      <c r="A20" s="1623"/>
      <c r="B20" s="1623"/>
      <c r="C20" s="1623"/>
      <c r="D20" s="1623"/>
      <c r="E20" s="1623"/>
      <c r="F20" s="1623"/>
      <c r="G20" s="1623"/>
      <c r="H20" s="1623"/>
      <c r="I20" s="1623"/>
      <c r="J20" s="1623"/>
      <c r="K20" s="1623"/>
      <c r="L20" s="1623"/>
      <c r="M20" s="1623"/>
      <c r="N20" s="1623"/>
      <c r="O20" s="1623"/>
      <c r="P20" s="1623"/>
      <c r="Q20" s="1623"/>
      <c r="R20" s="1623"/>
      <c r="S20" s="1623"/>
      <c r="T20" s="1623"/>
      <c r="U20" s="1623"/>
      <c r="V20" s="1623"/>
      <c r="W20" s="1623"/>
      <c r="X20" s="1623"/>
      <c r="Y20" s="1624"/>
      <c r="Z20" s="1623"/>
      <c r="AA20" s="1625"/>
      <c r="AB20" s="1623"/>
    </row>
    <row r="21" spans="1:28" ht="14.25" customHeight="1">
      <c r="A21" s="1623"/>
      <c r="B21" s="1623"/>
      <c r="C21" s="1623"/>
      <c r="D21" s="1623"/>
      <c r="E21" s="1623"/>
      <c r="F21" s="1623"/>
      <c r="G21" s="1623"/>
      <c r="H21" s="1623"/>
      <c r="I21" s="1623"/>
      <c r="J21" s="1623"/>
      <c r="K21" s="1623"/>
      <c r="L21" s="1623"/>
      <c r="M21" s="1623"/>
      <c r="N21" s="1623"/>
      <c r="O21" s="1623"/>
      <c r="P21" s="1623"/>
      <c r="Q21" s="1623"/>
      <c r="R21" s="1623"/>
      <c r="S21" s="1623"/>
      <c r="T21" s="1623"/>
      <c r="U21" s="1623"/>
      <c r="V21" s="1623"/>
      <c r="W21" s="1623"/>
      <c r="X21" s="1623"/>
      <c r="Y21" s="1624"/>
      <c r="Z21" s="1623"/>
      <c r="AA21" s="1625"/>
      <c r="AB21" s="1623"/>
    </row>
  </sheetData>
  <sheetProtection formatColumns="0" formatRows="0" insertRows="0" deleteColumns="0" deleteRows="0" sort="0" autoFilter="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5" hidden="1" customWidth="1"/>
    <col min="2" max="3" width="9.140625" style="1558" hidden="1" customWidth="1"/>
    <col min="4" max="4" width="3" style="1759" customWidth="1"/>
    <col min="5" max="5" width="6" style="1558" customWidth="1"/>
    <col min="6" max="6" width="1.7109375" style="1558" hidden="1" customWidth="1"/>
    <col min="7" max="8" width="30" style="1558" customWidth="1"/>
    <col min="9" max="9" width="8" style="1558" customWidth="1"/>
    <col min="10" max="10" width="12.140625" style="1558" customWidth="1"/>
    <col min="11" max="11" width="46" style="1558" customWidth="1"/>
    <col min="12" max="12" width="100" style="1558" customWidth="1"/>
    <col min="13" max="13" width="7" style="1739" customWidth="1"/>
    <col min="14" max="22" width="10" style="1558" customWidth="1"/>
    <col min="23" max="23" width="10.5703125" style="1558" hidden="1"/>
  </cols>
  <sheetData>
    <row r="1" spans="1:23" s="1565" customFormat="1" ht="5.25" hidden="1" customHeight="1">
      <c r="C1" s="447"/>
      <c r="D1" s="430"/>
      <c r="F1" s="447"/>
      <c r="G1" s="425" t="s">
        <v>84</v>
      </c>
      <c r="H1" s="425" t="s">
        <v>85</v>
      </c>
      <c r="I1" s="425" t="s">
        <v>86</v>
      </c>
      <c r="P1" s="425" t="s">
        <v>84</v>
      </c>
      <c r="Q1" s="425" t="s">
        <v>85</v>
      </c>
      <c r="R1" s="425" t="s">
        <v>86</v>
      </c>
      <c r="W1" s="425" t="s">
        <v>14</v>
      </c>
    </row>
    <row r="2" spans="1:23" s="1565" customFormat="1" ht="5.25" hidden="1" customHeight="1">
      <c r="C2" s="447"/>
      <c r="D2" s="430"/>
      <c r="F2" s="447"/>
      <c r="W2" s="425">
        <v>0</v>
      </c>
    </row>
    <row r="3" spans="1:23" s="1535" customFormat="1" ht="5.25" customHeight="1">
      <c r="A3" s="415"/>
      <c r="D3" s="422"/>
      <c r="E3" s="417"/>
      <c r="F3" s="417"/>
      <c r="G3" s="417"/>
      <c r="H3" s="417"/>
      <c r="I3" s="418"/>
      <c r="J3" s="419"/>
      <c r="K3" s="419"/>
      <c r="L3" s="419"/>
      <c r="W3" s="416">
        <v>5</v>
      </c>
    </row>
    <row r="4" spans="1:23" ht="23.25" customHeight="1">
      <c r="D4" s="386"/>
      <c r="E4" s="2382" t="s">
        <v>407</v>
      </c>
      <c r="F4" s="2382"/>
      <c r="G4" s="2383"/>
      <c r="H4" s="2383"/>
      <c r="I4" s="2384"/>
      <c r="J4" s="427"/>
      <c r="K4" s="389"/>
      <c r="L4" s="389"/>
      <c r="W4" s="383">
        <v>22</v>
      </c>
    </row>
    <row r="5" spans="1:23" s="1558" customFormat="1" ht="18" customHeight="1">
      <c r="A5" s="692"/>
      <c r="D5" s="751"/>
      <c r="E5" s="2471" t="str">
        <f>IF(org=0,"Не определено",org)</f>
        <v>ПАО "ТГК-2"</v>
      </c>
      <c r="F5" s="2471"/>
      <c r="G5" s="2472"/>
      <c r="H5" s="2472"/>
      <c r="I5" s="2473"/>
      <c r="J5" s="427"/>
      <c r="K5" s="389"/>
      <c r="L5" s="389"/>
      <c r="M5" s="443"/>
      <c r="W5" s="691">
        <v>17</v>
      </c>
    </row>
    <row r="6" spans="1:23" s="1535" customFormat="1" ht="11.45" customHeight="1">
      <c r="A6" s="415"/>
      <c r="D6" s="422"/>
      <c r="E6" s="417"/>
      <c r="F6" s="417"/>
      <c r="G6" s="420"/>
      <c r="H6" s="420"/>
      <c r="I6" s="421"/>
      <c r="J6" s="421"/>
      <c r="K6" s="687"/>
      <c r="L6" s="421"/>
      <c r="W6" s="416">
        <v>11</v>
      </c>
    </row>
    <row r="7" spans="1:23" ht="14.65" customHeight="1">
      <c r="D7" s="386"/>
      <c r="E7" s="2465" t="s">
        <v>319</v>
      </c>
      <c r="F7" s="2465"/>
      <c r="G7" s="2466"/>
      <c r="H7" s="2466"/>
      <c r="I7" s="2466"/>
      <c r="J7" s="2466"/>
      <c r="K7" s="2466"/>
      <c r="L7" s="2415" t="s">
        <v>320</v>
      </c>
      <c r="W7" s="383">
        <v>14</v>
      </c>
    </row>
    <row r="8" spans="1:23" ht="48.2" customHeight="1">
      <c r="D8" s="386"/>
      <c r="E8" s="409" t="s">
        <v>89</v>
      </c>
      <c r="F8" s="752"/>
      <c r="G8" s="401" t="s">
        <v>87</v>
      </c>
      <c r="H8" s="401" t="s">
        <v>88</v>
      </c>
      <c r="I8" s="350" t="s">
        <v>86</v>
      </c>
      <c r="J8" s="350" t="s">
        <v>408</v>
      </c>
      <c r="K8" s="350" t="s">
        <v>409</v>
      </c>
      <c r="L8" s="2415"/>
      <c r="W8" s="383">
        <v>46</v>
      </c>
    </row>
    <row r="9" spans="1:23" ht="12" hidden="1" customHeight="1">
      <c r="D9" s="423"/>
      <c r="E9" s="429"/>
      <c r="F9" s="759"/>
      <c r="G9" s="429"/>
      <c r="H9" s="429"/>
      <c r="I9" s="429"/>
      <c r="J9" s="429"/>
      <c r="K9" s="429"/>
      <c r="L9" s="429"/>
      <c r="M9" s="383"/>
      <c r="W9" s="383">
        <v>0</v>
      </c>
    </row>
    <row r="10" spans="1:23" ht="14.25" hidden="1" customHeight="1">
      <c r="A10" s="441"/>
      <c r="B10" s="441"/>
      <c r="D10" s="442"/>
      <c r="E10" s="448">
        <v>0</v>
      </c>
      <c r="F10" s="750"/>
      <c r="G10" s="444"/>
      <c r="H10" s="444"/>
      <c r="I10" s="444"/>
      <c r="J10" s="444"/>
      <c r="K10" s="444"/>
      <c r="L10" s="2477" t="s">
        <v>410</v>
      </c>
      <c r="M10" s="443"/>
      <c r="N10" s="441"/>
      <c r="O10" s="441"/>
      <c r="P10" s="441"/>
      <c r="Q10" s="441"/>
      <c r="R10" s="441"/>
      <c r="S10" s="441"/>
      <c r="T10" s="441"/>
      <c r="U10" s="441"/>
      <c r="V10" s="441"/>
      <c r="W10" s="383">
        <v>0</v>
      </c>
    </row>
    <row r="11" spans="1:23" ht="15" hidden="1" customHeight="1">
      <c r="A11" s="2353"/>
      <c r="B11" s="440"/>
      <c r="C11" s="440"/>
      <c r="D11" s="794"/>
      <c r="E11" s="449"/>
      <c r="F11" s="449"/>
      <c r="G11" s="449"/>
      <c r="H11" s="449"/>
      <c r="I11" s="450"/>
      <c r="J11" s="451"/>
      <c r="K11" s="649"/>
      <c r="L11" s="2491"/>
      <c r="M11" s="447"/>
      <c r="N11" s="447"/>
      <c r="O11" s="447"/>
      <c r="P11" s="452"/>
      <c r="Q11" s="452"/>
      <c r="R11" s="453"/>
      <c r="S11" s="447"/>
      <c r="T11" s="447"/>
      <c r="U11" s="447"/>
      <c r="V11" s="447"/>
      <c r="W11" s="383">
        <v>0</v>
      </c>
    </row>
    <row r="12" spans="1:23" s="1535" customFormat="1" ht="15" customHeight="1">
      <c r="A12" s="2353"/>
      <c r="B12" s="440"/>
      <c r="C12" s="440"/>
      <c r="D12" s="795"/>
      <c r="E12" s="752">
        <v>1</v>
      </c>
      <c r="F12" s="793">
        <v>23</v>
      </c>
      <c r="G12" s="792"/>
      <c r="H12" s="722"/>
      <c r="I12" s="720"/>
      <c r="J12" s="456" t="s">
        <v>63</v>
      </c>
      <c r="K12" s="1087" t="s">
        <v>22</v>
      </c>
      <c r="L12" s="2491"/>
      <c r="M12" s="447"/>
      <c r="N12" s="447"/>
      <c r="O12" s="447"/>
      <c r="P12" s="452" t="s">
        <v>411</v>
      </c>
      <c r="Q12" s="452" t="s">
        <v>412</v>
      </c>
      <c r="R12" s="453" t="s">
        <v>413</v>
      </c>
      <c r="S12" s="447" t="s">
        <v>414</v>
      </c>
      <c r="T12" s="447"/>
      <c r="U12" s="447"/>
      <c r="V12" s="447"/>
      <c r="W12" s="416">
        <v>14</v>
      </c>
    </row>
    <row r="13" spans="1:23" ht="15.75" customHeight="1">
      <c r="A13" s="2353"/>
      <c r="B13" s="441"/>
      <c r="D13" s="442"/>
      <c r="E13" s="341"/>
      <c r="F13" s="465"/>
      <c r="G13" s="352" t="s">
        <v>112</v>
      </c>
      <c r="H13" s="340"/>
      <c r="I13" s="340"/>
      <c r="J13" s="340"/>
      <c r="K13" s="339"/>
      <c r="L13" s="2478"/>
      <c r="M13" s="445"/>
      <c r="N13" s="441"/>
      <c r="O13" s="441"/>
      <c r="P13" s="441"/>
      <c r="Q13" s="441"/>
      <c r="R13" s="441"/>
      <c r="S13" s="441"/>
      <c r="T13" s="441"/>
      <c r="U13" s="441"/>
      <c r="V13" s="441"/>
      <c r="W13" s="383">
        <v>15</v>
      </c>
    </row>
    <row r="14" spans="1:23" ht="11.4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65" customHeight="1">
      <c r="D15" s="402"/>
      <c r="E15" s="273"/>
      <c r="F15" s="273"/>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2"/>
      <c r="I15" s="402"/>
      <c r="J15" s="402"/>
      <c r="K15" s="402"/>
      <c r="L15" s="402"/>
      <c r="W15" s="383">
        <v>14</v>
      </c>
    </row>
    <row r="16" spans="1:23" ht="14.65" customHeight="1">
      <c r="W16" s="383">
        <v>14</v>
      </c>
    </row>
    <row r="17" spans="1:23" ht="14.65" customHeight="1">
      <c r="W17" s="383">
        <v>14</v>
      </c>
    </row>
    <row r="18" spans="1:23" ht="14.65" customHeight="1">
      <c r="G18" s="441"/>
      <c r="W18" s="383">
        <v>14</v>
      </c>
    </row>
    <row r="19" spans="1:23" ht="22.5" hidden="1" customHeight="1">
      <c r="A19" s="385" t="s">
        <v>83</v>
      </c>
      <c r="B19" s="383">
        <v>0</v>
      </c>
      <c r="C19" s="691">
        <v>0</v>
      </c>
      <c r="D19" s="387">
        <v>3</v>
      </c>
      <c r="E19" s="383">
        <v>6</v>
      </c>
      <c r="F19" s="691">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2" style="1289" hidden="1" customWidth="1"/>
    <col min="10" max="10" width="9.85546875" style="1289" hidden="1" customWidth="1"/>
    <col min="11" max="11" width="11.42578125" style="1289" hidden="1" customWidth="1"/>
    <col min="12" max="12" width="19.140625" style="2043" hidden="1" customWidth="1"/>
    <col min="13" max="14" width="12.28515625" style="1696" hidden="1" customWidth="1"/>
    <col min="15" max="15" width="23.42578125" style="1696" hidden="1" customWidth="1"/>
    <col min="16" max="16" width="3" style="2032" customWidth="1"/>
    <col min="17" max="18" width="3" style="281" customWidth="1"/>
    <col min="19" max="19" width="12" style="2033" customWidth="1"/>
    <col min="20" max="20" width="35" style="1558" customWidth="1"/>
    <col min="21" max="21" width="0.140625" style="1558" customWidth="1"/>
    <col min="22" max="22" width="24.7109375" style="1558" hidden="1" customWidth="1"/>
    <col min="23" max="23" width="0.140625" style="1558" hidden="1" customWidth="1"/>
    <col min="24" max="25" width="24.7109375" style="1558" hidden="1" customWidth="1"/>
    <col min="26" max="26" width="11.7109375" style="1558" hidden="1" customWidth="1"/>
    <col min="27" max="27" width="3.7109375" style="1558" hidden="1" customWidth="1"/>
    <col min="28" max="28" width="11.7109375" style="1558" hidden="1" customWidth="1"/>
    <col min="29" max="29" width="8.5703125" style="1558" hidden="1" customWidth="1"/>
    <col min="30" max="30" width="24.7109375" style="1558" customWidth="1"/>
    <col min="31" max="31" width="0.140625" style="1558" customWidth="1"/>
    <col min="32" max="33" width="24" style="1558" customWidth="1"/>
    <col min="34" max="34" width="11" style="1558" customWidth="1"/>
    <col min="35" max="35" width="3.7109375" style="1558" customWidth="1"/>
    <col min="36" max="36" width="11" style="1558" customWidth="1"/>
    <col min="37" max="37" width="8.5703125" style="1558" hidden="1" customWidth="1"/>
    <col min="38" max="38" width="4" style="1558" customWidth="1"/>
    <col min="39" max="39" width="115" style="1558" customWidth="1"/>
    <col min="40" max="44" width="10" style="1565" customWidth="1"/>
    <col min="45" max="45" width="10.5703125" style="1558" hidden="1"/>
  </cols>
  <sheetData>
    <row r="1" spans="1:45" ht="22.5" hidden="1" customHeight="1">
      <c r="Y1" s="264"/>
      <c r="Z1" s="264"/>
      <c r="AG1" s="264"/>
      <c r="AH1" s="264"/>
      <c r="AS1" s="1078" t="s">
        <v>14</v>
      </c>
    </row>
    <row r="2" spans="1:45" ht="21" hidden="1" customHeight="1">
      <c r="A2" s="1286"/>
      <c r="B2" s="1286"/>
      <c r="C2" s="1286"/>
      <c r="D2" s="1286"/>
      <c r="E2" s="2506">
        <v>1</v>
      </c>
      <c r="F2" s="1286"/>
      <c r="G2" s="1286"/>
      <c r="H2" s="1286"/>
      <c r="I2" s="1286"/>
      <c r="J2" s="1286"/>
      <c r="K2" s="1286"/>
      <c r="L2" s="1287"/>
      <c r="M2" s="1288"/>
      <c r="N2" s="1288"/>
      <c r="O2" s="1288"/>
      <c r="P2" s="297"/>
      <c r="Q2" s="296"/>
      <c r="R2" s="291"/>
      <c r="S2" s="1232" t="e">
        <f>INDEX(PT_DIFFERENTIATION_NUM_NTAR,MATCH(A2,PT_DIFFERENTIATION_NTAR_ID,0))</f>
        <v>#N/A</v>
      </c>
      <c r="T2" s="235" t="s">
        <v>144</v>
      </c>
      <c r="U2" s="237"/>
      <c r="V2" s="2492"/>
      <c r="W2" s="2493"/>
      <c r="X2" s="2493"/>
      <c r="Y2" s="2493"/>
      <c r="Z2" s="2493"/>
      <c r="AA2" s="2493"/>
      <c r="AB2" s="2493"/>
      <c r="AC2" s="2494"/>
      <c r="AD2" s="2492" t="e">
        <f>INDEX(PT_DIFFERENTIATION_NTAR,MATCH(A2,PT_DIFFERENTIATION_NTAR_ID,0))</f>
        <v>#N/A</v>
      </c>
      <c r="AE2" s="2493"/>
      <c r="AF2" s="2493"/>
      <c r="AG2" s="2493"/>
      <c r="AH2" s="2493"/>
      <c r="AI2" s="2493"/>
      <c r="AJ2" s="2493"/>
      <c r="AK2" s="2493"/>
      <c r="AL2" s="2494"/>
      <c r="AM2" s="1181" t="s">
        <v>415</v>
      </c>
      <c r="AO2" s="436"/>
      <c r="AP2" s="436" t="str">
        <f t="shared" ref="AP2:AP15" si="0">IF(T2="","",T2)</f>
        <v>Наименование тарифа</v>
      </c>
      <c r="AQ2" s="436"/>
      <c r="AR2" s="436"/>
      <c r="AS2" s="1078">
        <v>0</v>
      </c>
    </row>
    <row r="3" spans="1:45" ht="21" hidden="1" customHeight="1">
      <c r="A3" s="1286"/>
      <c r="B3" s="1286"/>
      <c r="C3" s="1286"/>
      <c r="D3" s="1286"/>
      <c r="E3" s="2507"/>
      <c r="F3" s="2506">
        <v>1</v>
      </c>
      <c r="G3" s="1286"/>
      <c r="H3" s="1286"/>
      <c r="I3" s="1286"/>
      <c r="J3" s="1286"/>
      <c r="K3" s="1286"/>
      <c r="L3" s="1287"/>
      <c r="M3" s="1288"/>
      <c r="N3" s="1288"/>
      <c r="O3" s="1288"/>
      <c r="P3" s="1227"/>
      <c r="Q3" s="288"/>
      <c r="R3" s="289"/>
      <c r="S3" s="1232" t="e">
        <f>INDEX(PT_DIFFERENTIATION_NUM_TER,MATCH(B3,PT_DIFFERENTIATION_TER_ID,0))</f>
        <v>#N/A</v>
      </c>
      <c r="T3" s="245" t="s">
        <v>416</v>
      </c>
      <c r="U3" s="237"/>
      <c r="V3" s="2492"/>
      <c r="W3" s="2493"/>
      <c r="X3" s="2493"/>
      <c r="Y3" s="2493"/>
      <c r="Z3" s="2493"/>
      <c r="AA3" s="2493"/>
      <c r="AB3" s="2493"/>
      <c r="AC3" s="2494"/>
      <c r="AD3" s="2492" t="e">
        <f>INDEX(PT_DIFFERENTIATION_TER,MATCH(B3,PT_DIFFERENTIATION_TER_ID,0))</f>
        <v>#N/A</v>
      </c>
      <c r="AE3" s="2493"/>
      <c r="AF3" s="2493"/>
      <c r="AG3" s="2493"/>
      <c r="AH3" s="2493"/>
      <c r="AI3" s="2493"/>
      <c r="AJ3" s="2493"/>
      <c r="AK3" s="2493"/>
      <c r="AL3" s="2494"/>
      <c r="AM3" s="1181" t="s">
        <v>417</v>
      </c>
      <c r="AO3" s="436"/>
      <c r="AP3" s="436" t="str">
        <f t="shared" si="0"/>
        <v>Территория действия тарифа</v>
      </c>
      <c r="AQ3" s="436"/>
      <c r="AR3" s="436"/>
      <c r="AS3" s="1078">
        <v>0</v>
      </c>
    </row>
    <row r="4" spans="1:45" ht="23.25" hidden="1" customHeight="1">
      <c r="A4" s="1286"/>
      <c r="B4" s="1286"/>
      <c r="C4" s="1286"/>
      <c r="D4" s="1286"/>
      <c r="E4" s="2507"/>
      <c r="F4" s="2507"/>
      <c r="G4" s="2506">
        <v>1</v>
      </c>
      <c r="H4" s="1286"/>
      <c r="I4" s="1286"/>
      <c r="J4" s="1286"/>
      <c r="K4" s="1286"/>
      <c r="L4" s="1287"/>
      <c r="M4" s="1288"/>
      <c r="N4" s="1288"/>
      <c r="O4" s="1288"/>
      <c r="P4" s="290"/>
      <c r="Q4" s="288"/>
      <c r="R4" s="289"/>
      <c r="S4" s="1232" t="e">
        <f>INDEX(PT_DIFFERENTIATION_NUM_CS,MATCH(C4,PT_DIFFERENTIATION_CS_ID,0))</f>
        <v>#N/A</v>
      </c>
      <c r="T4" s="246" t="s">
        <v>418</v>
      </c>
      <c r="U4" s="237"/>
      <c r="V4" s="2492"/>
      <c r="W4" s="2493"/>
      <c r="X4" s="2493"/>
      <c r="Y4" s="2493"/>
      <c r="Z4" s="2493"/>
      <c r="AA4" s="2493"/>
      <c r="AB4" s="2493"/>
      <c r="AC4" s="2494"/>
      <c r="AD4" s="2492" t="e">
        <f>INDEX(PT_DIFFERENTIATION_CS,MATCH(C4,PT_DIFFERENTIATION_CS_ID,0))</f>
        <v>#N/A</v>
      </c>
      <c r="AE4" s="2493"/>
      <c r="AF4" s="2493"/>
      <c r="AG4" s="2493"/>
      <c r="AH4" s="2493"/>
      <c r="AI4" s="2493"/>
      <c r="AJ4" s="2493"/>
      <c r="AK4" s="2493"/>
      <c r="AL4" s="2494"/>
      <c r="AM4" s="1181" t="s">
        <v>419</v>
      </c>
      <c r="AO4" s="436"/>
      <c r="AP4" s="436" t="str">
        <f t="shared" si="0"/>
        <v xml:space="preserve">Наименование системы теплоснабжения </v>
      </c>
      <c r="AQ4" s="436"/>
      <c r="AR4" s="436"/>
      <c r="AS4" s="1078">
        <v>0</v>
      </c>
    </row>
    <row r="5" spans="1:45" ht="21" hidden="1" customHeight="1">
      <c r="A5" s="1286"/>
      <c r="B5" s="1286"/>
      <c r="C5" s="1286"/>
      <c r="D5" s="1286"/>
      <c r="E5" s="2507"/>
      <c r="F5" s="2507"/>
      <c r="G5" s="2507"/>
      <c r="H5" s="2506">
        <v>1</v>
      </c>
      <c r="I5" s="1286"/>
      <c r="J5" s="1286"/>
      <c r="K5" s="1286"/>
      <c r="L5" s="1287"/>
      <c r="M5" s="1288"/>
      <c r="N5" s="1288"/>
      <c r="O5" s="1288"/>
      <c r="P5" s="290"/>
      <c r="Q5" s="288"/>
      <c r="R5" s="289"/>
      <c r="S5" s="1232" t="e">
        <f>INDEX(PT_DIFFERENTIATION_NUM_IST_TE,MATCH(D5,PT_DIFFERENTIATION_IST_TE_ID,0))</f>
        <v>#N/A</v>
      </c>
      <c r="T5" s="247" t="s">
        <v>420</v>
      </c>
      <c r="U5" s="237"/>
      <c r="V5" s="2492"/>
      <c r="W5" s="2493"/>
      <c r="X5" s="2493"/>
      <c r="Y5" s="2493"/>
      <c r="Z5" s="2493"/>
      <c r="AA5" s="2493"/>
      <c r="AB5" s="2493"/>
      <c r="AC5" s="2494"/>
      <c r="AD5" s="2492" t="e">
        <f>INDEX(PT_DIFFERENTIATION_IST_TE,MATCH(D5,PT_DIFFERENTIATION_IST_TE_ID,0))</f>
        <v>#N/A</v>
      </c>
      <c r="AE5" s="2493"/>
      <c r="AF5" s="2493"/>
      <c r="AG5" s="2493"/>
      <c r="AH5" s="2493"/>
      <c r="AI5" s="2493"/>
      <c r="AJ5" s="2493"/>
      <c r="AK5" s="2493"/>
      <c r="AL5" s="2494"/>
      <c r="AM5" s="1181" t="s">
        <v>421</v>
      </c>
      <c r="AO5" s="436"/>
      <c r="AP5" s="436" t="str">
        <f t="shared" si="0"/>
        <v xml:space="preserve">Источник тепловой энергии  </v>
      </c>
      <c r="AQ5" s="436"/>
      <c r="AR5" s="436"/>
      <c r="AS5" s="1078">
        <v>0</v>
      </c>
    </row>
    <row r="6" spans="1:45" ht="47.25" hidden="1" customHeight="1">
      <c r="A6" s="1286"/>
      <c r="B6" s="1286"/>
      <c r="C6" s="1286"/>
      <c r="D6" s="1286"/>
      <c r="E6" s="2507"/>
      <c r="F6" s="2507"/>
      <c r="G6" s="2507"/>
      <c r="H6" s="2507"/>
      <c r="I6" s="2504" t="e">
        <f>S5&amp;".1"</f>
        <v>#N/A</v>
      </c>
      <c r="J6" s="1286"/>
      <c r="K6" s="1286"/>
      <c r="L6" s="1287" t="s">
        <v>422</v>
      </c>
      <c r="M6" s="473"/>
      <c r="P6" s="2505">
        <v>1</v>
      </c>
      <c r="Q6" s="1228"/>
      <c r="R6" s="292"/>
      <c r="S6" s="1232" t="e">
        <f>$I6</f>
        <v>#N/A</v>
      </c>
      <c r="T6" s="222" t="s">
        <v>423</v>
      </c>
      <c r="U6" s="237"/>
      <c r="V6" s="2495"/>
      <c r="W6" s="2496"/>
      <c r="X6" s="2496"/>
      <c r="Y6" s="2496"/>
      <c r="Z6" s="2496"/>
      <c r="AA6" s="2496"/>
      <c r="AB6" s="2496"/>
      <c r="AC6" s="2497"/>
      <c r="AD6" s="2495"/>
      <c r="AE6" s="2496"/>
      <c r="AF6" s="2496"/>
      <c r="AG6" s="2496"/>
      <c r="AH6" s="2496"/>
      <c r="AI6" s="2496"/>
      <c r="AJ6" s="2496"/>
      <c r="AK6" s="2496"/>
      <c r="AL6" s="2497"/>
      <c r="AM6" s="1181" t="s">
        <v>424</v>
      </c>
      <c r="AO6" s="436"/>
      <c r="AP6" s="436" t="str">
        <f t="shared" si="0"/>
        <v>Схема подключения теплопотребляющей установки к коллектору источника тепловой энергии</v>
      </c>
      <c r="AQ6" s="436"/>
      <c r="AR6" s="436"/>
      <c r="AS6" s="1078">
        <v>0</v>
      </c>
    </row>
    <row r="7" spans="1:45" ht="21" hidden="1" customHeight="1">
      <c r="A7" s="1286"/>
      <c r="B7" s="1286"/>
      <c r="C7" s="1286"/>
      <c r="D7" s="1286"/>
      <c r="E7" s="2507"/>
      <c r="F7" s="2507"/>
      <c r="G7" s="2507"/>
      <c r="H7" s="2507"/>
      <c r="I7" s="2527"/>
      <c r="J7" s="2504" t="e">
        <f>I6&amp;".1"</f>
        <v>#N/A</v>
      </c>
      <c r="K7" s="1286"/>
      <c r="L7" s="1287" t="s">
        <v>425</v>
      </c>
      <c r="M7" s="473"/>
      <c r="N7" s="1289"/>
      <c r="P7" s="2505"/>
      <c r="Q7" s="2505">
        <v>1</v>
      </c>
      <c r="R7" s="293"/>
      <c r="S7" s="1232" t="e">
        <f>$J7</f>
        <v>#N/A</v>
      </c>
      <c r="T7" s="223" t="s">
        <v>426</v>
      </c>
      <c r="U7" s="237"/>
      <c r="V7" s="2495"/>
      <c r="W7" s="2496"/>
      <c r="X7" s="2496"/>
      <c r="Y7" s="2496"/>
      <c r="Z7" s="2496"/>
      <c r="AA7" s="2496"/>
      <c r="AB7" s="2496"/>
      <c r="AC7" s="2497"/>
      <c r="AD7" s="2495"/>
      <c r="AE7" s="2496"/>
      <c r="AF7" s="2496"/>
      <c r="AG7" s="2496"/>
      <c r="AH7" s="2496"/>
      <c r="AI7" s="2496"/>
      <c r="AJ7" s="2496"/>
      <c r="AK7" s="2496"/>
      <c r="AL7" s="2497"/>
      <c r="AM7" s="1181" t="s">
        <v>427</v>
      </c>
      <c r="AO7" s="436"/>
      <c r="AP7" s="436" t="str">
        <f t="shared" si="0"/>
        <v>Группа потребителей</v>
      </c>
      <c r="AQ7" s="436"/>
      <c r="AR7" s="436"/>
      <c r="AS7" s="1078">
        <v>0</v>
      </c>
    </row>
    <row r="8" spans="1:45" ht="21" hidden="1" customHeight="1">
      <c r="A8" s="1286"/>
      <c r="B8" s="1286"/>
      <c r="C8" s="1286"/>
      <c r="D8" s="1286"/>
      <c r="E8" s="2507"/>
      <c r="F8" s="2507"/>
      <c r="G8" s="2507"/>
      <c r="H8" s="2507"/>
      <c r="I8" s="2527"/>
      <c r="J8" s="2527"/>
      <c r="K8" s="2504" t="e">
        <f>J7&amp;".1"</f>
        <v>#N/A</v>
      </c>
      <c r="L8" s="1287" t="s">
        <v>428</v>
      </c>
      <c r="M8" s="473"/>
      <c r="N8" s="1289"/>
      <c r="O8" s="1289"/>
      <c r="P8" s="2505"/>
      <c r="Q8" s="2505"/>
      <c r="R8" s="293">
        <v>1</v>
      </c>
      <c r="S8" s="1232" t="e">
        <f>$K8</f>
        <v>#N/A</v>
      </c>
      <c r="T8" s="1270"/>
      <c r="U8" s="237"/>
      <c r="V8" s="686"/>
      <c r="W8" s="262"/>
      <c r="X8" s="686"/>
      <c r="Y8" s="1180"/>
      <c r="Z8" s="2509"/>
      <c r="AA8" s="2360" t="s">
        <v>63</v>
      </c>
      <c r="AB8" s="2509"/>
      <c r="AC8" s="2360" t="s">
        <v>63</v>
      </c>
      <c r="AD8" s="686"/>
      <c r="AE8" s="262"/>
      <c r="AF8" s="686"/>
      <c r="AG8" s="1180"/>
      <c r="AH8" s="2509"/>
      <c r="AI8" s="2360" t="s">
        <v>63</v>
      </c>
      <c r="AJ8" s="2509"/>
      <c r="AK8" s="2360" t="s">
        <v>63</v>
      </c>
      <c r="AL8" s="262"/>
      <c r="AM8" s="2501" t="s">
        <v>429</v>
      </c>
      <c r="AN8" s="447" t="e">
        <f ca="1">STRCHECKDATE(V9:AL9)</f>
        <v>#NAME?</v>
      </c>
      <c r="AO8" s="436"/>
      <c r="AP8" s="436" t="str">
        <f t="shared" si="0"/>
        <v/>
      </c>
      <c r="AQ8" s="436"/>
      <c r="AR8" s="436"/>
      <c r="AS8" s="1078">
        <v>0</v>
      </c>
    </row>
    <row r="9" spans="1:45" ht="0.75" hidden="1" customHeight="1">
      <c r="A9" s="1286"/>
      <c r="B9" s="1286"/>
      <c r="C9" s="1286"/>
      <c r="D9" s="1286"/>
      <c r="E9" s="2507"/>
      <c r="F9" s="2507"/>
      <c r="G9" s="2507"/>
      <c r="H9" s="2507"/>
      <c r="I9" s="2527"/>
      <c r="J9" s="2527"/>
      <c r="K9" s="2504"/>
      <c r="L9" s="1287"/>
      <c r="M9" s="473"/>
      <c r="N9" s="1289"/>
      <c r="O9" s="1289"/>
      <c r="P9" s="2505"/>
      <c r="Q9" s="2505"/>
      <c r="R9" s="293"/>
      <c r="S9" s="1229"/>
      <c r="T9" s="237"/>
      <c r="U9" s="237"/>
      <c r="V9" s="262"/>
      <c r="W9" s="262"/>
      <c r="X9" s="262"/>
      <c r="Y9" s="265" t="str">
        <f>Z8&amp;"-"&amp;AB8</f>
        <v>-</v>
      </c>
      <c r="Z9" s="2510"/>
      <c r="AA9" s="2360"/>
      <c r="AB9" s="2510"/>
      <c r="AC9" s="2360"/>
      <c r="AD9" s="262"/>
      <c r="AE9" s="262"/>
      <c r="AF9" s="262"/>
      <c r="AG9" s="265" t="str">
        <f>AH8&amp;"-"&amp;AJ8</f>
        <v>-</v>
      </c>
      <c r="AH9" s="2510"/>
      <c r="AI9" s="2360"/>
      <c r="AJ9" s="2510"/>
      <c r="AK9" s="2360"/>
      <c r="AL9" s="262"/>
      <c r="AM9" s="2502"/>
      <c r="AO9" s="436"/>
      <c r="AP9" s="436" t="str">
        <f t="shared" si="0"/>
        <v/>
      </c>
      <c r="AQ9" s="436"/>
      <c r="AR9" s="436"/>
      <c r="AS9" s="1078">
        <v>0</v>
      </c>
    </row>
    <row r="10" spans="1:45" ht="15" hidden="1" customHeight="1">
      <c r="A10" s="1286"/>
      <c r="B10" s="1286"/>
      <c r="C10" s="1286"/>
      <c r="D10" s="1286"/>
      <c r="E10" s="2507"/>
      <c r="F10" s="2507"/>
      <c r="G10" s="2507"/>
      <c r="H10" s="2507"/>
      <c r="I10" s="2527"/>
      <c r="J10" s="2504"/>
      <c r="K10" s="1286"/>
      <c r="L10" s="1287"/>
      <c r="M10" s="473"/>
      <c r="N10" s="1289"/>
      <c r="P10" s="2505"/>
      <c r="Q10" s="2505"/>
      <c r="R10" s="292"/>
      <c r="S10" s="1201"/>
      <c r="T10" s="225" t="s">
        <v>430</v>
      </c>
      <c r="U10" s="303"/>
      <c r="V10" s="303"/>
      <c r="W10" s="303"/>
      <c r="X10" s="303"/>
      <c r="Y10" s="303"/>
      <c r="Z10" s="303"/>
      <c r="AA10" s="303"/>
      <c r="AB10" s="303"/>
      <c r="AC10" s="303"/>
      <c r="AD10" s="303"/>
      <c r="AE10" s="303"/>
      <c r="AF10" s="303"/>
      <c r="AG10" s="303"/>
      <c r="AH10" s="303"/>
      <c r="AI10" s="303"/>
      <c r="AJ10" s="303"/>
      <c r="AK10" s="303"/>
      <c r="AL10" s="261"/>
      <c r="AM10" s="2503"/>
      <c r="AO10" s="436"/>
      <c r="AP10" s="436" t="str">
        <f t="shared" si="0"/>
        <v>Добавить вид теплоносителя (параметры теплоносителя)</v>
      </c>
      <c r="AQ10" s="436"/>
      <c r="AR10" s="436"/>
      <c r="AS10" s="1078">
        <v>0</v>
      </c>
    </row>
    <row r="11" spans="1:45" ht="15" hidden="1" customHeight="1">
      <c r="A11" s="1286"/>
      <c r="B11" s="1286"/>
      <c r="C11" s="1286"/>
      <c r="D11" s="1286"/>
      <c r="E11" s="2507"/>
      <c r="F11" s="2507"/>
      <c r="G11" s="2507"/>
      <c r="H11" s="2507"/>
      <c r="I11" s="2504"/>
      <c r="J11" s="1286"/>
      <c r="K11" s="1286"/>
      <c r="L11" s="1287"/>
      <c r="M11" s="473"/>
      <c r="P11" s="2505"/>
      <c r="Q11" s="1228"/>
      <c r="R11" s="292"/>
      <c r="S11" s="1201"/>
      <c r="T11" s="224" t="s">
        <v>431</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8">
        <v>0</v>
      </c>
    </row>
    <row r="12" spans="1:45" ht="14.25" hidden="1" customHeight="1">
      <c r="A12" s="1286"/>
      <c r="B12" s="1286"/>
      <c r="C12" s="1286"/>
      <c r="D12" s="1286"/>
      <c r="E12" s="2507"/>
      <c r="F12" s="2507"/>
      <c r="G12" s="2507"/>
      <c r="H12" s="2506"/>
      <c r="I12" s="1286"/>
      <c r="J12" s="1286"/>
      <c r="K12" s="1286"/>
      <c r="L12" s="1287"/>
      <c r="M12" s="1288"/>
      <c r="N12" s="1288"/>
      <c r="O12" s="473"/>
      <c r="P12" s="296"/>
      <c r="Q12" s="311"/>
      <c r="R12" s="291"/>
      <c r="S12" s="1201"/>
      <c r="T12" s="301" t="s">
        <v>432</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78">
        <v>0</v>
      </c>
    </row>
    <row r="13" spans="1:45" s="1565" customFormat="1" ht="0.75" hidden="1" customHeight="1">
      <c r="A13" s="1237"/>
      <c r="B13" s="1237"/>
      <c r="C13" s="1237"/>
      <c r="D13" s="1237"/>
      <c r="E13" s="2507"/>
      <c r="F13" s="2507"/>
      <c r="G13" s="2506"/>
      <c r="H13" s="1237"/>
      <c r="I13" s="1237"/>
      <c r="J13" s="1237"/>
      <c r="K13" s="1237"/>
      <c r="L13" s="1262"/>
      <c r="M13" s="1238"/>
      <c r="N13" s="1238"/>
      <c r="P13" s="1239"/>
      <c r="Q13" s="1240"/>
      <c r="R13" s="1239"/>
      <c r="S13" s="1241"/>
      <c r="T13" s="1242" t="s">
        <v>433</v>
      </c>
      <c r="U13" s="1243"/>
      <c r="V13" s="1243"/>
      <c r="W13" s="1243"/>
      <c r="X13" s="1243"/>
      <c r="Y13" s="1243"/>
      <c r="Z13" s="1243"/>
      <c r="AA13" s="1243"/>
      <c r="AB13" s="1243"/>
      <c r="AC13" s="1243"/>
      <c r="AD13" s="1243"/>
      <c r="AE13" s="1243"/>
      <c r="AF13" s="1243"/>
      <c r="AG13" s="1243"/>
      <c r="AH13" s="1243"/>
      <c r="AI13" s="1243"/>
      <c r="AJ13" s="1243"/>
      <c r="AK13" s="1243"/>
      <c r="AL13" s="1243"/>
      <c r="AM13" s="1243"/>
      <c r="AO13" s="718"/>
      <c r="AP13" s="718" t="str">
        <f t="shared" si="0"/>
        <v>Добавить источник для дифференциации</v>
      </c>
      <c r="AQ13" s="718"/>
      <c r="AR13" s="718"/>
      <c r="AS13" s="454">
        <v>0</v>
      </c>
    </row>
    <row r="14" spans="1:45" s="1565" customFormat="1" ht="0.75" hidden="1" customHeight="1">
      <c r="A14" s="1237"/>
      <c r="B14" s="1237"/>
      <c r="C14" s="1237"/>
      <c r="D14" s="1237"/>
      <c r="E14" s="2507"/>
      <c r="F14" s="2506"/>
      <c r="G14" s="1237"/>
      <c r="H14" s="1237"/>
      <c r="I14" s="1237"/>
      <c r="J14" s="1237"/>
      <c r="K14" s="1237"/>
      <c r="L14" s="1262"/>
      <c r="M14" s="1244"/>
      <c r="N14" s="1244"/>
      <c r="P14" s="1239"/>
      <c r="Q14" s="1240"/>
      <c r="R14" s="1239"/>
      <c r="S14" s="1245"/>
      <c r="T14" s="1246" t="s">
        <v>434</v>
      </c>
      <c r="U14" s="1247"/>
      <c r="V14" s="1247"/>
      <c r="W14" s="1247"/>
      <c r="X14" s="1247"/>
      <c r="Y14" s="1247"/>
      <c r="Z14" s="1247"/>
      <c r="AA14" s="1247"/>
      <c r="AB14" s="1247"/>
      <c r="AC14" s="1247"/>
      <c r="AD14" s="1247"/>
      <c r="AE14" s="1247"/>
      <c r="AF14" s="1247"/>
      <c r="AG14" s="1247"/>
      <c r="AH14" s="1247"/>
      <c r="AI14" s="1247"/>
      <c r="AJ14" s="1247"/>
      <c r="AK14" s="1247"/>
      <c r="AL14" s="1247"/>
      <c r="AM14" s="1247"/>
      <c r="AO14" s="718"/>
      <c r="AP14" s="718" t="str">
        <f t="shared" si="0"/>
        <v>Добавить централизованную систему для дифференциации</v>
      </c>
      <c r="AQ14" s="718"/>
      <c r="AR14" s="718"/>
      <c r="AS14" s="454">
        <v>0</v>
      </c>
    </row>
    <row r="15" spans="1:45" s="1565" customFormat="1" ht="0.75" hidden="1" customHeight="1">
      <c r="A15" s="1237"/>
      <c r="B15" s="1237"/>
      <c r="C15" s="1237"/>
      <c r="D15" s="1237"/>
      <c r="E15" s="2506"/>
      <c r="F15" s="1237"/>
      <c r="G15" s="1237"/>
      <c r="H15" s="1237"/>
      <c r="I15" s="1237"/>
      <c r="J15" s="1237"/>
      <c r="K15" s="1237"/>
      <c r="L15" s="1262"/>
      <c r="M15" s="1244"/>
      <c r="N15" s="1244"/>
      <c r="P15" s="1239"/>
      <c r="Q15" s="1240"/>
      <c r="R15" s="1239"/>
      <c r="S15" s="1245"/>
      <c r="T15" s="1248" t="s">
        <v>435</v>
      </c>
      <c r="U15" s="1247"/>
      <c r="V15" s="1247"/>
      <c r="W15" s="1247"/>
      <c r="X15" s="1247"/>
      <c r="Y15" s="1247"/>
      <c r="Z15" s="1247"/>
      <c r="AA15" s="1247"/>
      <c r="AB15" s="1247"/>
      <c r="AC15" s="1247"/>
      <c r="AD15" s="1247"/>
      <c r="AE15" s="1247"/>
      <c r="AF15" s="1247"/>
      <c r="AG15" s="1247"/>
      <c r="AH15" s="1247"/>
      <c r="AI15" s="1247"/>
      <c r="AJ15" s="1247"/>
      <c r="AK15" s="1247"/>
      <c r="AL15" s="1247"/>
      <c r="AM15" s="1247"/>
      <c r="AO15" s="718"/>
      <c r="AP15" s="718" t="str">
        <f t="shared" si="0"/>
        <v>Добавить территорию для дифференциации</v>
      </c>
      <c r="AQ15" s="718"/>
      <c r="AR15" s="718"/>
      <c r="AS15" s="454">
        <v>0</v>
      </c>
    </row>
    <row r="16" spans="1:45" ht="14.25" hidden="1" customHeight="1">
      <c r="AC16" s="264"/>
      <c r="AK16" s="264"/>
      <c r="AS16" s="1078">
        <v>0</v>
      </c>
    </row>
    <row r="17" spans="1:45" ht="14.25" hidden="1" customHeight="1">
      <c r="P17" s="1234"/>
      <c r="AD17" s="1283"/>
      <c r="AE17" s="1283"/>
      <c r="AF17" s="1283"/>
      <c r="AG17" s="1284"/>
      <c r="AH17" s="2511"/>
      <c r="AI17" s="2512" t="s">
        <v>63</v>
      </c>
      <c r="AJ17" s="2511"/>
      <c r="AK17" s="2512" t="s">
        <v>63</v>
      </c>
      <c r="AS17" s="1078">
        <v>0</v>
      </c>
    </row>
    <row r="18" spans="1:45" ht="14.25" hidden="1" customHeight="1">
      <c r="P18" s="1234"/>
      <c r="AD18" s="1283"/>
      <c r="AE18" s="1283"/>
      <c r="AF18" s="1283"/>
      <c r="AG18" s="265" t="str">
        <f>AH17&amp;"-"&amp;AJ17</f>
        <v>-</v>
      </c>
      <c r="AH18" s="2512"/>
      <c r="AI18" s="2512"/>
      <c r="AJ18" s="2512"/>
      <c r="AK18" s="2512"/>
      <c r="AS18" s="1078">
        <v>0</v>
      </c>
    </row>
    <row r="19" spans="1:45" ht="14.25" hidden="1" customHeight="1">
      <c r="P19" s="1234"/>
      <c r="AK19" s="264"/>
      <c r="AS19" s="1078">
        <v>0</v>
      </c>
    </row>
    <row r="20" spans="1:45" s="1289" customFormat="1" ht="22.5" hidden="1" customHeight="1">
      <c r="L20" s="1252"/>
      <c r="M20" s="1285"/>
      <c r="N20" s="1285"/>
      <c r="O20" s="1290" t="s">
        <v>436</v>
      </c>
      <c r="P20" s="1285"/>
      <c r="Q20" s="1294"/>
      <c r="R20" s="1294"/>
      <c r="S20" s="665"/>
      <c r="Z20" s="1290"/>
      <c r="AB20" s="1290"/>
      <c r="AH20" s="1290"/>
      <c r="AJ20" s="1290"/>
      <c r="AN20" s="447"/>
      <c r="AO20" s="447"/>
      <c r="AP20" s="447"/>
      <c r="AQ20" s="447"/>
      <c r="AR20" s="447"/>
      <c r="AS20" s="1083">
        <v>0</v>
      </c>
    </row>
    <row r="21" spans="1:45" s="1289" customFormat="1" ht="14.25" hidden="1" customHeight="1">
      <c r="L21" s="1252"/>
      <c r="M21" s="1285"/>
      <c r="N21" s="1285"/>
      <c r="O21" s="1285"/>
      <c r="P21" s="1285"/>
      <c r="Q21" s="1294"/>
      <c r="R21" s="1294"/>
      <c r="S21" s="665"/>
      <c r="AN21" s="447"/>
      <c r="AO21" s="447"/>
      <c r="AP21" s="447"/>
      <c r="AQ21" s="447"/>
      <c r="AR21" s="447"/>
      <c r="AS21" s="1083">
        <v>0</v>
      </c>
    </row>
    <row r="22" spans="1:45" s="1289" customFormat="1" ht="14.25" hidden="1" customHeight="1">
      <c r="L22" s="1252"/>
      <c r="M22" s="1285"/>
      <c r="N22" s="1285"/>
      <c r="O22" s="1287" t="s">
        <v>437</v>
      </c>
      <c r="P22" s="1285"/>
      <c r="Q22" s="1294"/>
      <c r="R22" s="1294"/>
      <c r="S22" s="665"/>
      <c r="T22" s="1083" t="s">
        <v>438</v>
      </c>
      <c r="AA22" s="123" t="s">
        <v>439</v>
      </c>
      <c r="AC22" s="123" t="s">
        <v>440</v>
      </c>
      <c r="AD22" s="1083" t="s">
        <v>438</v>
      </c>
      <c r="AI22" s="123" t="s">
        <v>441</v>
      </c>
      <c r="AK22" s="123" t="s">
        <v>440</v>
      </c>
      <c r="AN22" s="447"/>
      <c r="AO22" s="447"/>
      <c r="AP22" s="447"/>
      <c r="AQ22" s="447"/>
      <c r="AR22" s="447"/>
      <c r="AS22" s="1083">
        <v>0</v>
      </c>
    </row>
    <row r="23" spans="1:45" ht="14.25" hidden="1" customHeight="1">
      <c r="O23" s="1287"/>
      <c r="P23" s="1234"/>
      <c r="AS23" s="1078">
        <v>0</v>
      </c>
    </row>
    <row r="24" spans="1:45" ht="14.25" hidden="1" customHeight="1">
      <c r="O24" s="1287"/>
      <c r="P24" s="1234"/>
      <c r="AS24" s="1078">
        <v>0</v>
      </c>
    </row>
    <row r="25" spans="1:45" ht="14.65" customHeight="1">
      <c r="Q25" s="312"/>
      <c r="R25" s="312"/>
      <c r="S25" s="1198"/>
      <c r="T25" s="299"/>
      <c r="U25" s="299"/>
      <c r="V25" s="445"/>
      <c r="W25" s="445"/>
      <c r="X25" s="445"/>
      <c r="Y25" s="445"/>
      <c r="Z25" s="445"/>
      <c r="AA25" s="445"/>
      <c r="AB25" s="445"/>
      <c r="AC25" s="445"/>
      <c r="AD25" s="445"/>
      <c r="AE25" s="445"/>
      <c r="AF25" s="445"/>
      <c r="AG25" s="445"/>
      <c r="AH25" s="445"/>
      <c r="AI25" s="445"/>
      <c r="AJ25" s="445"/>
      <c r="AK25" s="445"/>
      <c r="AS25" s="1078">
        <v>14</v>
      </c>
    </row>
    <row r="26" spans="1:45" ht="14.65" customHeight="1">
      <c r="Q26" s="312"/>
      <c r="R26" s="312"/>
      <c r="S26" s="249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90"/>
      <c r="U26" s="2490"/>
      <c r="V26" s="2490"/>
      <c r="W26" s="2490"/>
      <c r="X26" s="2490"/>
      <c r="Y26" s="2490"/>
      <c r="Z26" s="2490"/>
      <c r="AA26" s="2490"/>
      <c r="AB26" s="2490"/>
      <c r="AC26" s="2490"/>
      <c r="AD26" s="2490"/>
      <c r="AE26" s="2490"/>
      <c r="AF26" s="2490"/>
      <c r="AG26" s="2490"/>
      <c r="AH26" s="2490"/>
      <c r="AI26" s="2490"/>
      <c r="AJ26" s="2490"/>
      <c r="AK26" s="1166"/>
      <c r="AS26" s="1078">
        <v>14</v>
      </c>
    </row>
    <row r="27" spans="1:45" ht="14.65" customHeight="1">
      <c r="Q27" s="312"/>
      <c r="R27" s="312"/>
      <c r="S27" s="2436" t="str">
        <f>IF(org=0,"Не определено",org)</f>
        <v>ПАО "ТГК-2"</v>
      </c>
      <c r="T27" s="2436"/>
      <c r="U27" s="2436"/>
      <c r="V27" s="2436"/>
      <c r="W27" s="2436"/>
      <c r="X27" s="2436"/>
      <c r="Y27" s="2436"/>
      <c r="Z27" s="2436"/>
      <c r="AA27" s="2436"/>
      <c r="AB27" s="2436"/>
      <c r="AC27" s="2436"/>
      <c r="AD27" s="2436"/>
      <c r="AE27" s="2436"/>
      <c r="AF27" s="2436"/>
      <c r="AG27" s="2436"/>
      <c r="AH27" s="2436"/>
      <c r="AI27" s="2436"/>
      <c r="AJ27" s="2436"/>
      <c r="AK27" s="1166"/>
      <c r="AS27" s="1078">
        <v>14</v>
      </c>
    </row>
    <row r="28" spans="1:45" ht="14.25" hidden="1" customHeight="1">
      <c r="Q28" s="312"/>
      <c r="R28" s="312"/>
      <c r="S28" s="1198"/>
      <c r="T28" s="299"/>
      <c r="U28" s="299"/>
      <c r="V28" s="259"/>
      <c r="W28" s="259"/>
      <c r="X28" s="259"/>
      <c r="Y28" s="259"/>
      <c r="Z28" s="259"/>
      <c r="AA28" s="259"/>
      <c r="AB28" s="259"/>
      <c r="AC28" s="259"/>
      <c r="AD28" s="259"/>
      <c r="AE28" s="259"/>
      <c r="AF28" s="259"/>
      <c r="AG28" s="259"/>
      <c r="AH28" s="259"/>
      <c r="AI28" s="259"/>
      <c r="AJ28" s="259"/>
      <c r="AK28" s="259"/>
      <c r="AL28" s="445"/>
      <c r="AS28" s="1078">
        <v>0</v>
      </c>
    </row>
    <row r="29" spans="1:45" s="1770" customFormat="1" ht="25.5" hidden="1" customHeight="1">
      <c r="A29" s="1291"/>
      <c r="B29" s="1291"/>
      <c r="C29" s="1291"/>
      <c r="D29" s="1291"/>
      <c r="E29" s="1291"/>
      <c r="F29" s="1291"/>
      <c r="G29" s="1291"/>
      <c r="H29" s="1291"/>
      <c r="I29" s="1291"/>
      <c r="J29" s="1291"/>
      <c r="K29" s="1291"/>
      <c r="L29" s="1292"/>
      <c r="M29" s="1291"/>
      <c r="N29" s="1291"/>
      <c r="O29" s="1291"/>
      <c r="S29" s="249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498"/>
      <c r="U29" s="1295"/>
      <c r="V29" s="2499" t="str">
        <f>IF(TITLE_NAME_OR_PR_CHANGE="",IF(TITLE_NAME_OR_PR="","",TITLE_NAME_OR_PR),TITLE_NAME_OR_PR_CHANGE)</f>
        <v/>
      </c>
      <c r="W29" s="2499"/>
      <c r="X29" s="2499"/>
      <c r="Y29" s="2499"/>
      <c r="Z29" s="2499"/>
      <c r="AA29" s="2499"/>
      <c r="AB29" s="2499"/>
      <c r="AC29" s="263"/>
      <c r="AD29" s="2499" t="str">
        <f>IF(TITLE_NAME_OR_PR_CHANGE="",IF(TITLE_NAME_OR_PR="","",TITLE_NAME_OR_PR),TITLE_NAME_OR_PR_CHANGE)</f>
        <v/>
      </c>
      <c r="AE29" s="2499"/>
      <c r="AF29" s="2499"/>
      <c r="AG29" s="2499"/>
      <c r="AH29" s="2499"/>
      <c r="AI29" s="2499"/>
      <c r="AJ29" s="2499"/>
      <c r="AK29" s="263"/>
      <c r="AL29" s="263"/>
      <c r="AM29" s="217"/>
      <c r="AN29" s="304"/>
      <c r="AO29" s="304"/>
      <c r="AP29" s="304"/>
      <c r="AQ29" s="304"/>
      <c r="AR29" s="304"/>
      <c r="AS29" s="354">
        <v>0</v>
      </c>
    </row>
    <row r="30" spans="1:45" s="1770" customFormat="1" ht="18.75" hidden="1" customHeight="1">
      <c r="A30" s="1291"/>
      <c r="B30" s="1291"/>
      <c r="C30" s="1291"/>
      <c r="D30" s="1291"/>
      <c r="E30" s="1291"/>
      <c r="F30" s="1291"/>
      <c r="G30" s="1291"/>
      <c r="H30" s="1291"/>
      <c r="I30" s="1291"/>
      <c r="J30" s="1291"/>
      <c r="K30" s="1291"/>
      <c r="L30" s="1292"/>
      <c r="M30" s="1291"/>
      <c r="N30" s="1291"/>
      <c r="O30" s="1291"/>
      <c r="S30" s="2498" t="str">
        <f>"Дата документа об "&amp;IF(TITLE_DATE_PR_CHANGE="","утверждении","изменении")&amp;" тарифов"</f>
        <v>Дата документа об утверждении тарифов</v>
      </c>
      <c r="T30" s="2498"/>
      <c r="U30" s="1295"/>
      <c r="V30" s="2508" t="str">
        <f>IF(TITLE_DATE_PR_CHANGE="",IF(TITLE_DATE_PR="","",TITLE_DATE_PR),TITLE_DATE_PR_CHANGE)</f>
        <v/>
      </c>
      <c r="W30" s="2508"/>
      <c r="X30" s="2508"/>
      <c r="Y30" s="2508"/>
      <c r="Z30" s="2508"/>
      <c r="AA30" s="2508"/>
      <c r="AB30" s="2508"/>
      <c r="AC30" s="263"/>
      <c r="AD30" s="2508" t="str">
        <f>IF(TITLE_DATE_PR_CHANGE="",IF(TITLE_DATE_PR="","",TITLE_DATE_PR),TITLE_DATE_PR_CHANGE)</f>
        <v/>
      </c>
      <c r="AE30" s="2508"/>
      <c r="AF30" s="2508"/>
      <c r="AG30" s="2508"/>
      <c r="AH30" s="2508"/>
      <c r="AI30" s="2508"/>
      <c r="AJ30" s="2508"/>
      <c r="AK30" s="263"/>
      <c r="AL30" s="263"/>
      <c r="AM30" s="217"/>
      <c r="AN30" s="304"/>
      <c r="AO30" s="304"/>
      <c r="AP30" s="304"/>
      <c r="AQ30" s="304"/>
      <c r="AR30" s="304"/>
      <c r="AS30" s="354">
        <v>0</v>
      </c>
    </row>
    <row r="31" spans="1:45" s="1770" customFormat="1" ht="18.75" hidden="1" customHeight="1">
      <c r="A31" s="1291"/>
      <c r="B31" s="1291"/>
      <c r="C31" s="1291"/>
      <c r="D31" s="1291"/>
      <c r="E31" s="1291"/>
      <c r="F31" s="1291"/>
      <c r="G31" s="1291"/>
      <c r="H31" s="1291"/>
      <c r="I31" s="1291"/>
      <c r="J31" s="1291"/>
      <c r="K31" s="1291"/>
      <c r="L31" s="1292"/>
      <c r="M31" s="1291"/>
      <c r="N31" s="1291"/>
      <c r="O31" s="1291"/>
      <c r="S31" s="2498" t="str">
        <f>"Номер документа об "&amp;IF(TITLE_DATE_PR_CHANGE="","утверждении","изменении")&amp;" тарифов"</f>
        <v>Номер документа об утверждении тарифов</v>
      </c>
      <c r="T31" s="2498"/>
      <c r="U31" s="1295"/>
      <c r="V31" s="2499" t="str">
        <f>IF(TITLE_NUMBER_PR_CHANGE="",IF(TITLE_NUMBER_PR="","",TITLE_NUMBER_PR),TITLE_NUMBER_PR_CHANGE)</f>
        <v/>
      </c>
      <c r="W31" s="2499"/>
      <c r="X31" s="2499"/>
      <c r="Y31" s="2499"/>
      <c r="Z31" s="2499"/>
      <c r="AA31" s="2499"/>
      <c r="AB31" s="2499"/>
      <c r="AC31" s="263"/>
      <c r="AD31" s="2499" t="str">
        <f>IF(TITLE_NUMBER_PR_CHANGE="",IF(TITLE_NUMBER_PR="","",TITLE_NUMBER_PR),TITLE_NUMBER_PR_CHANGE)</f>
        <v/>
      </c>
      <c r="AE31" s="2499"/>
      <c r="AF31" s="2499"/>
      <c r="AG31" s="2499"/>
      <c r="AH31" s="2499"/>
      <c r="AI31" s="2499"/>
      <c r="AJ31" s="2499"/>
      <c r="AK31" s="263"/>
      <c r="AL31" s="263"/>
      <c r="AM31" s="217"/>
      <c r="AN31" s="304"/>
      <c r="AO31" s="304"/>
      <c r="AP31" s="304"/>
      <c r="AQ31" s="304"/>
      <c r="AR31" s="304"/>
      <c r="AS31" s="354">
        <v>0</v>
      </c>
    </row>
    <row r="32" spans="1:45" s="1770" customFormat="1" ht="18.75" hidden="1" customHeight="1">
      <c r="A32" s="1291"/>
      <c r="B32" s="1291"/>
      <c r="C32" s="1291"/>
      <c r="D32" s="1291"/>
      <c r="E32" s="1291"/>
      <c r="F32" s="1291"/>
      <c r="G32" s="1291"/>
      <c r="H32" s="1291"/>
      <c r="I32" s="1291"/>
      <c r="J32" s="1291"/>
      <c r="K32" s="1291"/>
      <c r="L32" s="1292"/>
      <c r="M32" s="1291"/>
      <c r="N32" s="1291"/>
      <c r="O32" s="1291"/>
      <c r="S32" s="2498" t="s">
        <v>43</v>
      </c>
      <c r="T32" s="2498"/>
      <c r="U32" s="1295"/>
      <c r="V32" s="2499" t="str">
        <f>IF(TITLE_IST_PUB_CHANGE="",IF(TITLE_IST_PUB="","",TITLE_IST_PUB),TITLE_IST_PUB_CHANGE)</f>
        <v/>
      </c>
      <c r="W32" s="2499"/>
      <c r="X32" s="2499"/>
      <c r="Y32" s="2499"/>
      <c r="Z32" s="2499"/>
      <c r="AA32" s="2499"/>
      <c r="AB32" s="2499"/>
      <c r="AC32" s="263"/>
      <c r="AD32" s="2499" t="str">
        <f>IF(TITLE_IST_PUB_CHANGE="",IF(TITLE_IST_PUB="","",TITLE_IST_PUB),TITLE_IST_PUB_CHANGE)</f>
        <v/>
      </c>
      <c r="AE32" s="2499"/>
      <c r="AF32" s="2499"/>
      <c r="AG32" s="2499"/>
      <c r="AH32" s="2499"/>
      <c r="AI32" s="2499"/>
      <c r="AJ32" s="2499"/>
      <c r="AK32" s="263"/>
      <c r="AL32" s="263"/>
      <c r="AM32" s="217"/>
      <c r="AN32" s="304"/>
      <c r="AO32" s="304"/>
      <c r="AP32" s="304"/>
      <c r="AQ32" s="304"/>
      <c r="AR32" s="304"/>
      <c r="AS32" s="354">
        <v>0</v>
      </c>
    </row>
    <row r="33" spans="1:45" ht="14.25" hidden="1" customHeight="1">
      <c r="P33" s="1251"/>
      <c r="Q33" s="312"/>
      <c r="R33" s="312"/>
      <c r="S33" s="1198"/>
      <c r="T33" s="393"/>
      <c r="U33" s="299"/>
      <c r="V33" s="259"/>
      <c r="W33" s="259"/>
      <c r="X33" s="259"/>
      <c r="Y33" s="259"/>
      <c r="Z33" s="259"/>
      <c r="AA33" s="259"/>
      <c r="AB33" s="259"/>
      <c r="AC33" s="259"/>
      <c r="AD33" s="259"/>
      <c r="AE33" s="259"/>
      <c r="AF33" s="259"/>
      <c r="AG33" s="259"/>
      <c r="AH33" s="259"/>
      <c r="AI33" s="259"/>
      <c r="AJ33" s="259"/>
      <c r="AK33" s="259"/>
      <c r="AL33" s="445"/>
      <c r="AS33" s="1078">
        <v>0</v>
      </c>
    </row>
    <row r="34" spans="1:45" s="1770" customFormat="1" ht="18.75" hidden="1" customHeight="1">
      <c r="A34" s="1291"/>
      <c r="B34" s="1291"/>
      <c r="C34" s="1291"/>
      <c r="D34" s="1291"/>
      <c r="E34" s="1291"/>
      <c r="F34" s="1291"/>
      <c r="G34" s="1291"/>
      <c r="H34" s="1291"/>
      <c r="I34" s="1291"/>
      <c r="J34" s="1291"/>
      <c r="K34" s="1291"/>
      <c r="L34" s="1292"/>
      <c r="M34" s="1291"/>
      <c r="N34" s="1291"/>
      <c r="O34" s="1291"/>
      <c r="S34" s="2498" t="str">
        <f>"Дата подачи заявления об "&amp;IF(TITLE_DATE_PR_CHANGE="","утверждении","изменении")&amp;" тарифов"</f>
        <v>Дата подачи заявления об утверждении тарифов</v>
      </c>
      <c r="T34" s="2498"/>
      <c r="U34" s="1295"/>
      <c r="V34" s="2508" t="str">
        <f>IF(TITLE_DATE_PR_CHANGE="",IF(TITLE_DATE_PR="","",TITLE_DATE_PR),TITLE_DATE_PR_CHANGE)</f>
        <v/>
      </c>
      <c r="W34" s="2508"/>
      <c r="X34" s="2508"/>
      <c r="Y34" s="2508"/>
      <c r="Z34" s="2508"/>
      <c r="AA34" s="2508"/>
      <c r="AB34" s="2508"/>
      <c r="AC34" s="263"/>
      <c r="AD34" s="2508" t="str">
        <f>IF(TITLE_DATE_PR_CHANGE="",IF(TITLE_DATE_PR="","",TITLE_DATE_PR),TITLE_DATE_PR_CHANGE)</f>
        <v/>
      </c>
      <c r="AE34" s="2508"/>
      <c r="AF34" s="2508"/>
      <c r="AG34" s="2508"/>
      <c r="AH34" s="2508"/>
      <c r="AI34" s="2508"/>
      <c r="AJ34" s="2508"/>
      <c r="AK34" s="263"/>
      <c r="AL34" s="263"/>
      <c r="AM34" s="217"/>
      <c r="AN34" s="304"/>
      <c r="AO34" s="304"/>
      <c r="AP34" s="304"/>
      <c r="AQ34" s="304"/>
      <c r="AR34" s="304"/>
      <c r="AS34" s="354">
        <v>0</v>
      </c>
    </row>
    <row r="35" spans="1:45" s="1770" customFormat="1" ht="18.75" hidden="1" customHeight="1">
      <c r="A35" s="1291"/>
      <c r="B35" s="1291"/>
      <c r="C35" s="1291"/>
      <c r="D35" s="1291"/>
      <c r="E35" s="1291"/>
      <c r="F35" s="1291"/>
      <c r="G35" s="1291"/>
      <c r="H35" s="1291"/>
      <c r="I35" s="1291"/>
      <c r="J35" s="1291"/>
      <c r="K35" s="1291"/>
      <c r="L35" s="1292"/>
      <c r="M35" s="1291"/>
      <c r="N35" s="1291"/>
      <c r="O35" s="1291"/>
      <c r="S35" s="2498" t="str">
        <f>"Номер подачи заявления об "&amp;IF(TITLE_DATE_PR_CHANGE="","утверждении","изменении")&amp;" тарифов"</f>
        <v>Номер подачи заявления об утверждении тарифов</v>
      </c>
      <c r="T35" s="2498"/>
      <c r="U35" s="1295"/>
      <c r="V35" s="2499" t="str">
        <f>IF(TITLE_NUMBER_PR_CHANGE="",IF(TITLE_NUMBER_PR="","",TITLE_NUMBER_PR),TITLE_NUMBER_PR_CHANGE)</f>
        <v/>
      </c>
      <c r="W35" s="2499"/>
      <c r="X35" s="2499"/>
      <c r="Y35" s="2499"/>
      <c r="Z35" s="2499"/>
      <c r="AA35" s="2499"/>
      <c r="AB35" s="2499"/>
      <c r="AC35" s="263"/>
      <c r="AD35" s="2499" t="str">
        <f>IF(TITLE_NUMBER_PR_CHANGE="",IF(TITLE_NUMBER_PR="","",TITLE_NUMBER_PR),TITLE_NUMBER_PR_CHANGE)</f>
        <v/>
      </c>
      <c r="AE35" s="2499"/>
      <c r="AF35" s="2499"/>
      <c r="AG35" s="2499"/>
      <c r="AH35" s="2499"/>
      <c r="AI35" s="2499"/>
      <c r="AJ35" s="2499"/>
      <c r="AK35" s="263"/>
      <c r="AL35" s="263"/>
      <c r="AM35" s="217"/>
      <c r="AN35" s="304"/>
      <c r="AO35" s="304"/>
      <c r="AP35" s="304"/>
      <c r="AQ35" s="304"/>
      <c r="AR35" s="304"/>
      <c r="AS35" s="354">
        <v>0</v>
      </c>
    </row>
    <row r="36" spans="1:45" s="1770" customFormat="1" ht="0" hidden="1" customHeight="1">
      <c r="A36" s="1291"/>
      <c r="B36" s="1291"/>
      <c r="C36" s="1291"/>
      <c r="D36" s="1291"/>
      <c r="E36" s="1291"/>
      <c r="F36" s="1291"/>
      <c r="G36" s="1291"/>
      <c r="H36" s="1291"/>
      <c r="I36" s="1291"/>
      <c r="J36" s="1291"/>
      <c r="K36" s="1291"/>
      <c r="L36" s="1292"/>
      <c r="M36" s="1291"/>
      <c r="N36" s="1291"/>
      <c r="O36" s="1291"/>
      <c r="S36" s="260"/>
      <c r="T36" s="260"/>
      <c r="U36" s="1142"/>
      <c r="V36" s="263"/>
      <c r="W36" s="263"/>
      <c r="X36" s="263"/>
      <c r="Y36" s="263"/>
      <c r="Z36" s="263"/>
      <c r="AA36" s="263"/>
      <c r="AB36" s="263"/>
      <c r="AC36" s="215" t="s">
        <v>442</v>
      </c>
      <c r="AD36" s="263"/>
      <c r="AE36" s="263"/>
      <c r="AF36" s="263"/>
      <c r="AG36" s="263"/>
      <c r="AH36" s="263"/>
      <c r="AI36" s="263"/>
      <c r="AJ36" s="263"/>
      <c r="AK36" s="215" t="s">
        <v>442</v>
      </c>
      <c r="AN36" s="304"/>
      <c r="AO36" s="304"/>
      <c r="AP36" s="304"/>
      <c r="AQ36" s="304"/>
      <c r="AR36" s="304"/>
      <c r="AS36" s="354">
        <v>0</v>
      </c>
    </row>
    <row r="37" spans="1:45" ht="14.65" customHeight="1">
      <c r="Q37" s="312"/>
      <c r="R37" s="312"/>
      <c r="S37" s="1198"/>
      <c r="T37" s="299"/>
      <c r="U37" s="1167"/>
      <c r="V37" s="2500"/>
      <c r="W37" s="2500"/>
      <c r="X37" s="2500"/>
      <c r="Y37" s="2500"/>
      <c r="Z37" s="2500"/>
      <c r="AA37" s="2500"/>
      <c r="AB37" s="2500"/>
      <c r="AC37" s="2500"/>
      <c r="AD37" s="2500"/>
      <c r="AE37" s="2500"/>
      <c r="AF37" s="2500"/>
      <c r="AG37" s="2500"/>
      <c r="AH37" s="2500"/>
      <c r="AI37" s="2500"/>
      <c r="AJ37" s="2500"/>
      <c r="AK37" s="2500"/>
      <c r="AS37" s="1078">
        <v>14</v>
      </c>
    </row>
    <row r="38" spans="1:45" ht="14.65" customHeight="1">
      <c r="Q38" s="312"/>
      <c r="R38" s="312"/>
      <c r="S38" s="2371" t="s">
        <v>319</v>
      </c>
      <c r="T38" s="2371"/>
      <c r="U38" s="2371"/>
      <c r="V38" s="2371"/>
      <c r="W38" s="2371"/>
      <c r="X38" s="2371"/>
      <c r="Y38" s="2371"/>
      <c r="Z38" s="2371"/>
      <c r="AA38" s="2371"/>
      <c r="AB38" s="2371"/>
      <c r="AC38" s="2371"/>
      <c r="AD38" s="2371"/>
      <c r="AE38" s="2371"/>
      <c r="AF38" s="2371"/>
      <c r="AG38" s="2371"/>
      <c r="AH38" s="2371"/>
      <c r="AI38" s="2371"/>
      <c r="AJ38" s="2371"/>
      <c r="AK38" s="2371"/>
      <c r="AL38" s="2371"/>
      <c r="AM38" s="2371" t="s">
        <v>320</v>
      </c>
      <c r="AS38" s="1078">
        <v>14</v>
      </c>
    </row>
    <row r="39" spans="1:45" ht="14.65" customHeight="1">
      <c r="Q39" s="312"/>
      <c r="R39" s="312"/>
      <c r="S39" s="2514" t="s">
        <v>89</v>
      </c>
      <c r="T39" s="2466" t="s">
        <v>443</v>
      </c>
      <c r="U39" s="238"/>
      <c r="V39" s="2515" t="s">
        <v>444</v>
      </c>
      <c r="W39" s="2516"/>
      <c r="X39" s="2516"/>
      <c r="Y39" s="2516"/>
      <c r="Z39" s="2516"/>
      <c r="AA39" s="2516"/>
      <c r="AB39" s="2517"/>
      <c r="AC39" s="2518" t="s">
        <v>445</v>
      </c>
      <c r="AD39" s="2515" t="s">
        <v>444</v>
      </c>
      <c r="AE39" s="2516"/>
      <c r="AF39" s="2516"/>
      <c r="AG39" s="2516"/>
      <c r="AH39" s="2516"/>
      <c r="AI39" s="2516"/>
      <c r="AJ39" s="2517"/>
      <c r="AK39" s="2518" t="s">
        <v>446</v>
      </c>
      <c r="AL39" s="2521" t="s">
        <v>447</v>
      </c>
      <c r="AM39" s="2371"/>
      <c r="AS39" s="1078">
        <v>14</v>
      </c>
    </row>
    <row r="40" spans="1:45" ht="35.65" customHeight="1">
      <c r="Q40" s="312"/>
      <c r="R40" s="312"/>
      <c r="S40" s="2514"/>
      <c r="T40" s="2466"/>
      <c r="U40" s="958"/>
      <c r="V40" s="2435" t="s">
        <v>448</v>
      </c>
      <c r="W40" s="2524" t="s">
        <v>449</v>
      </c>
      <c r="X40" s="2350" t="s">
        <v>450</v>
      </c>
      <c r="Y40" s="2349"/>
      <c r="Z40" s="2350" t="s">
        <v>451</v>
      </c>
      <c r="AA40" s="2356"/>
      <c r="AB40" s="2349"/>
      <c r="AC40" s="2519"/>
      <c r="AD40" s="2435" t="s">
        <v>448</v>
      </c>
      <c r="AE40" s="2524" t="s">
        <v>449</v>
      </c>
      <c r="AF40" s="2350" t="s">
        <v>450</v>
      </c>
      <c r="AG40" s="2349"/>
      <c r="AH40" s="2350" t="s">
        <v>451</v>
      </c>
      <c r="AI40" s="2356"/>
      <c r="AJ40" s="2349"/>
      <c r="AK40" s="2519"/>
      <c r="AL40" s="2522"/>
      <c r="AM40" s="2371"/>
      <c r="AS40" s="1078">
        <v>34</v>
      </c>
    </row>
    <row r="41" spans="1:45" ht="35.65" customHeight="1">
      <c r="A41" s="1293"/>
      <c r="B41" s="1293" t="s">
        <v>156</v>
      </c>
      <c r="C41" s="1293" t="s">
        <v>157</v>
      </c>
      <c r="D41" s="1293" t="s">
        <v>158</v>
      </c>
      <c r="E41" s="1287" t="s">
        <v>452</v>
      </c>
      <c r="F41" s="1287" t="s">
        <v>453</v>
      </c>
      <c r="G41" s="1287" t="s">
        <v>454</v>
      </c>
      <c r="H41" s="1287" t="s">
        <v>455</v>
      </c>
      <c r="I41" s="1287" t="s">
        <v>456</v>
      </c>
      <c r="J41" s="1287" t="s">
        <v>457</v>
      </c>
      <c r="K41" s="1287" t="s">
        <v>458</v>
      </c>
      <c r="L41" s="1287" t="s">
        <v>437</v>
      </c>
      <c r="Q41" s="312"/>
      <c r="R41" s="312"/>
      <c r="S41" s="2514"/>
      <c r="T41" s="2466"/>
      <c r="U41" s="239"/>
      <c r="V41" s="2485"/>
      <c r="W41" s="2525"/>
      <c r="X41" s="1145" t="s">
        <v>459</v>
      </c>
      <c r="Y41" s="1145" t="s">
        <v>460</v>
      </c>
      <c r="Z41" s="1144" t="s">
        <v>461</v>
      </c>
      <c r="AA41" s="2474" t="s">
        <v>462</v>
      </c>
      <c r="AB41" s="2476"/>
      <c r="AC41" s="2520"/>
      <c r="AD41" s="2485"/>
      <c r="AE41" s="2525"/>
      <c r="AF41" s="1145" t="s">
        <v>459</v>
      </c>
      <c r="AG41" s="1145" t="s">
        <v>460</v>
      </c>
      <c r="AH41" s="1236" t="s">
        <v>461</v>
      </c>
      <c r="AI41" s="2474" t="s">
        <v>462</v>
      </c>
      <c r="AJ41" s="2476"/>
      <c r="AK41" s="2520"/>
      <c r="AL41" s="2523"/>
      <c r="AM41" s="2371"/>
      <c r="AS41" s="1078">
        <v>34</v>
      </c>
    </row>
    <row r="42" spans="1:45" s="1564" customFormat="1" ht="11.25" hidden="1" customHeight="1">
      <c r="A42" s="1293"/>
      <c r="B42" s="1293"/>
      <c r="C42" s="1293"/>
      <c r="D42" s="1293"/>
      <c r="E42" s="1293"/>
      <c r="F42" s="1293"/>
      <c r="G42" s="1293"/>
      <c r="H42" s="1293"/>
      <c r="I42" s="1293"/>
      <c r="J42" s="1293"/>
      <c r="K42" s="1293"/>
      <c r="L42" s="1287"/>
      <c r="M42" s="1285"/>
      <c r="N42" s="1285"/>
      <c r="O42" s="1285"/>
      <c r="P42" s="1169"/>
      <c r="Q42" s="1170"/>
      <c r="R42" s="1177">
        <v>1</v>
      </c>
      <c r="S42" s="1200" t="s">
        <v>100</v>
      </c>
      <c r="T42" s="1178" t="s">
        <v>103</v>
      </c>
      <c r="U42" s="1168" t="str">
        <f ca="1">OFFSET(U42,0,-1)</f>
        <v>2</v>
      </c>
      <c r="V42" s="1179">
        <f ca="1">OFFSET(V42,0,-1)+1</f>
        <v>3</v>
      </c>
      <c r="W42" s="1179"/>
      <c r="X42" s="1179">
        <f ca="1">OFFSET(X42,0,-1)+1</f>
        <v>1</v>
      </c>
      <c r="Y42" s="1179">
        <f ca="1">OFFSET(Y42,0,-1)+1</f>
        <v>2</v>
      </c>
      <c r="Z42" s="1179">
        <f ca="1">OFFSET(Z42,0,-1)+1</f>
        <v>3</v>
      </c>
      <c r="AA42" s="2513">
        <f ca="1">OFFSET(AA42,0,-1)+1</f>
        <v>4</v>
      </c>
      <c r="AB42" s="2513"/>
      <c r="AC42" s="1179">
        <f ca="1">OFFSET(AC42,0,-2)+1</f>
        <v>5</v>
      </c>
      <c r="AD42" s="1235">
        <f ca="1">OFFSET(AD42,0,-1)+1</f>
        <v>6</v>
      </c>
      <c r="AE42" s="1235"/>
      <c r="AF42" s="1235">
        <f ca="1">OFFSET(AF42,0,-1)+1</f>
        <v>1</v>
      </c>
      <c r="AG42" s="1235">
        <f ca="1">OFFSET(AG42,0,-1)+1</f>
        <v>2</v>
      </c>
      <c r="AH42" s="1235">
        <f ca="1">OFFSET(AH42,0,-1)+1</f>
        <v>3</v>
      </c>
      <c r="AI42" s="2513">
        <f ca="1">OFFSET(AI42,0,-1)+1</f>
        <v>4</v>
      </c>
      <c r="AJ42" s="2513"/>
      <c r="AK42" s="1235">
        <f ca="1">OFFSET(AK42,0,-2)+1</f>
        <v>5</v>
      </c>
      <c r="AL42" s="1168">
        <f ca="1">OFFSET(AL42,0,-1)</f>
        <v>5</v>
      </c>
      <c r="AM42" s="1179">
        <f ca="1">OFFSET(AM42,0,-1)+1</f>
        <v>6</v>
      </c>
      <c r="AN42" s="447"/>
      <c r="AO42" s="447"/>
      <c r="AP42" s="447"/>
      <c r="AQ42" s="447"/>
      <c r="AR42" s="447"/>
      <c r="AS42" s="432">
        <v>0</v>
      </c>
    </row>
    <row r="43" spans="1:45" ht="24" customHeight="1">
      <c r="A43" s="1286" t="s">
        <v>177</v>
      </c>
      <c r="B43" s="1286"/>
      <c r="C43" s="1286"/>
      <c r="D43" s="1286"/>
      <c r="E43" s="2506">
        <v>1</v>
      </c>
      <c r="F43" s="1286"/>
      <c r="G43" s="1286"/>
      <c r="H43" s="1286"/>
      <c r="I43" s="1286"/>
      <c r="J43" s="1286"/>
      <c r="K43" s="1286"/>
      <c r="L43" s="1287"/>
      <c r="M43" s="1288"/>
      <c r="N43" s="1288"/>
      <c r="O43" s="1288"/>
      <c r="P43" s="297"/>
      <c r="Q43" s="296"/>
      <c r="R43" s="291"/>
      <c r="S43" s="1147">
        <f>INDEX(PT_DIFFERENTIATION_NUM_NTAR,MATCH(A43,PT_DIFFERENTIATION_NTAR_ID,0))</f>
        <v>0</v>
      </c>
      <c r="T43" s="235" t="s">
        <v>144</v>
      </c>
      <c r="U43" s="237"/>
      <c r="V43" s="2492"/>
      <c r="W43" s="2493"/>
      <c r="X43" s="2493"/>
      <c r="Y43" s="2493"/>
      <c r="Z43" s="2493"/>
      <c r="AA43" s="2493"/>
      <c r="AB43" s="2493"/>
      <c r="AC43" s="2494"/>
      <c r="AD43" s="2492" t="str">
        <f>INDEX(PT_DIFFERENTIATION_NTAR,MATCH(A43,PT_DIFFERENTIATION_NTAR_ID,0))</f>
        <v/>
      </c>
      <c r="AE43" s="2493"/>
      <c r="AF43" s="2493"/>
      <c r="AG43" s="2493"/>
      <c r="AH43" s="2493"/>
      <c r="AI43" s="2493"/>
      <c r="AJ43" s="2493"/>
      <c r="AK43" s="2493"/>
      <c r="AL43" s="2494"/>
      <c r="AM43" s="118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8">
        <v>23</v>
      </c>
    </row>
    <row r="44" spans="1:45" ht="24" customHeight="1">
      <c r="A44" s="1286" t="s">
        <v>177</v>
      </c>
      <c r="B44" s="1286" t="s">
        <v>178</v>
      </c>
      <c r="C44" s="1286"/>
      <c r="D44" s="1286"/>
      <c r="E44" s="2507"/>
      <c r="F44" s="2506">
        <v>1</v>
      </c>
      <c r="G44" s="1286"/>
      <c r="H44" s="1286"/>
      <c r="I44" s="1286"/>
      <c r="J44" s="1286"/>
      <c r="K44" s="1286"/>
      <c r="L44" s="1287"/>
      <c r="M44" s="1288"/>
      <c r="N44" s="1288"/>
      <c r="O44" s="1288"/>
      <c r="P44" s="458"/>
      <c r="Q44" s="288"/>
      <c r="R44" s="289"/>
      <c r="S44" s="1147" t="str">
        <f>INDEX(PT_DIFFERENTIATION_NUM_TER,MATCH(B44,PT_DIFFERENTIATION_TER_ID,0))</f>
        <v>.</v>
      </c>
      <c r="T44" s="245" t="s">
        <v>416</v>
      </c>
      <c r="U44" s="237"/>
      <c r="V44" s="2492"/>
      <c r="W44" s="2493"/>
      <c r="X44" s="2493"/>
      <c r="Y44" s="2493"/>
      <c r="Z44" s="2493"/>
      <c r="AA44" s="2493"/>
      <c r="AB44" s="2493"/>
      <c r="AC44" s="2494"/>
      <c r="AD44" s="2492" t="str">
        <f>INDEX(PT_DIFFERENTIATION_TER,MATCH(B44,PT_DIFFERENTIATION_TER_ID,0))</f>
        <v/>
      </c>
      <c r="AE44" s="2493"/>
      <c r="AF44" s="2493"/>
      <c r="AG44" s="2493"/>
      <c r="AH44" s="2493"/>
      <c r="AI44" s="2493"/>
      <c r="AJ44" s="2493"/>
      <c r="AK44" s="2493"/>
      <c r="AL44" s="2494"/>
      <c r="AM44" s="1181" t="s">
        <v>417</v>
      </c>
      <c r="AO44" s="436"/>
      <c r="AP44" s="436" t="str">
        <f t="shared" si="1"/>
        <v>Территория действия тарифа</v>
      </c>
      <c r="AQ44" s="436"/>
      <c r="AR44" s="436"/>
      <c r="AS44" s="1078">
        <v>23</v>
      </c>
    </row>
    <row r="45" spans="1:45" ht="24" customHeight="1">
      <c r="A45" s="1286" t="s">
        <v>177</v>
      </c>
      <c r="B45" s="1286" t="s">
        <v>178</v>
      </c>
      <c r="C45" s="1286" t="s">
        <v>179</v>
      </c>
      <c r="D45" s="1286"/>
      <c r="E45" s="2507"/>
      <c r="F45" s="2507"/>
      <c r="G45" s="2506">
        <v>1</v>
      </c>
      <c r="H45" s="1286"/>
      <c r="I45" s="1286"/>
      <c r="J45" s="1286"/>
      <c r="K45" s="1286"/>
      <c r="L45" s="1287"/>
      <c r="M45" s="1288"/>
      <c r="N45" s="1288"/>
      <c r="O45" s="1288"/>
      <c r="P45" s="290"/>
      <c r="Q45" s="288"/>
      <c r="R45" s="289"/>
      <c r="S45" s="1147" t="str">
        <f>INDEX(PT_DIFFERENTIATION_NUM_CS,MATCH(C45,PT_DIFFERENTIATION_CS_ID,0))</f>
        <v>..</v>
      </c>
      <c r="T45" s="246" t="s">
        <v>418</v>
      </c>
      <c r="U45" s="237"/>
      <c r="V45" s="2492"/>
      <c r="W45" s="2493"/>
      <c r="X45" s="2493"/>
      <c r="Y45" s="2493"/>
      <c r="Z45" s="2493"/>
      <c r="AA45" s="2493"/>
      <c r="AB45" s="2493"/>
      <c r="AC45" s="2494"/>
      <c r="AD45" s="2492" t="str">
        <f>INDEX(PT_DIFFERENTIATION_CS,MATCH(C45,PT_DIFFERENTIATION_CS_ID,0))</f>
        <v/>
      </c>
      <c r="AE45" s="2493"/>
      <c r="AF45" s="2493"/>
      <c r="AG45" s="2493"/>
      <c r="AH45" s="2493"/>
      <c r="AI45" s="2493"/>
      <c r="AJ45" s="2493"/>
      <c r="AK45" s="2493"/>
      <c r="AL45" s="2494"/>
      <c r="AM45" s="1181" t="s">
        <v>419</v>
      </c>
      <c r="AO45" s="436"/>
      <c r="AP45" s="436" t="str">
        <f t="shared" si="1"/>
        <v xml:space="preserve">Наименование системы теплоснабжения </v>
      </c>
      <c r="AQ45" s="436"/>
      <c r="AR45" s="436"/>
      <c r="AS45" s="1078">
        <v>23</v>
      </c>
    </row>
    <row r="46" spans="1:45" ht="24" customHeight="1">
      <c r="A46" s="1286" t="s">
        <v>177</v>
      </c>
      <c r="B46" s="1286" t="s">
        <v>178</v>
      </c>
      <c r="C46" s="1286" t="s">
        <v>179</v>
      </c>
      <c r="D46" s="1286" t="s">
        <v>180</v>
      </c>
      <c r="E46" s="2507"/>
      <c r="F46" s="2507"/>
      <c r="G46" s="2507"/>
      <c r="H46" s="2506">
        <v>1</v>
      </c>
      <c r="I46" s="1286"/>
      <c r="J46" s="1286"/>
      <c r="K46" s="1286"/>
      <c r="L46" s="1287"/>
      <c r="M46" s="1288"/>
      <c r="N46" s="1288"/>
      <c r="O46" s="1288"/>
      <c r="P46" s="290"/>
      <c r="Q46" s="288"/>
      <c r="R46" s="289"/>
      <c r="S46" s="1147" t="str">
        <f>INDEX(PT_DIFFERENTIATION_NUM_IST_TE,MATCH(D46,PT_DIFFERENTIATION_IST_TE_ID,0))</f>
        <v>...</v>
      </c>
      <c r="T46" s="247" t="s">
        <v>420</v>
      </c>
      <c r="U46" s="237"/>
      <c r="V46" s="2492"/>
      <c r="W46" s="2493"/>
      <c r="X46" s="2493"/>
      <c r="Y46" s="2493"/>
      <c r="Z46" s="2493"/>
      <c r="AA46" s="2493"/>
      <c r="AB46" s="2493"/>
      <c r="AC46" s="2494"/>
      <c r="AD46" s="2492" t="str">
        <f>INDEX(PT_DIFFERENTIATION_IST_TE,MATCH(D46,PT_DIFFERENTIATION_IST_TE_ID,0))</f>
        <v/>
      </c>
      <c r="AE46" s="2493"/>
      <c r="AF46" s="2493"/>
      <c r="AG46" s="2493"/>
      <c r="AH46" s="2493"/>
      <c r="AI46" s="2493"/>
      <c r="AJ46" s="2493"/>
      <c r="AK46" s="2493"/>
      <c r="AL46" s="2494"/>
      <c r="AM46" s="1181" t="s">
        <v>421</v>
      </c>
      <c r="AO46" s="436"/>
      <c r="AP46" s="436" t="str">
        <f t="shared" si="1"/>
        <v xml:space="preserve">Источник тепловой энергии  </v>
      </c>
      <c r="AQ46" s="436"/>
      <c r="AR46" s="436"/>
      <c r="AS46" s="1078">
        <v>23</v>
      </c>
    </row>
    <row r="47" spans="1:45" ht="49.5" customHeight="1">
      <c r="A47" s="1286" t="s">
        <v>177</v>
      </c>
      <c r="B47" s="1286" t="s">
        <v>178</v>
      </c>
      <c r="C47" s="1286" t="s">
        <v>179</v>
      </c>
      <c r="D47" s="1286" t="s">
        <v>180</v>
      </c>
      <c r="E47" s="2507"/>
      <c r="F47" s="2507"/>
      <c r="G47" s="2507"/>
      <c r="H47" s="2507"/>
      <c r="I47" s="2504" t="str">
        <f>S46&amp;".1"</f>
        <v>....1</v>
      </c>
      <c r="J47" s="1286"/>
      <c r="K47" s="1286"/>
      <c r="L47" s="1287" t="s">
        <v>422</v>
      </c>
      <c r="P47" s="2505">
        <v>1</v>
      </c>
      <c r="Q47" s="1143"/>
      <c r="R47" s="292"/>
      <c r="S47" s="1147" t="str">
        <f>$I47</f>
        <v>....1</v>
      </c>
      <c r="T47" s="222" t="s">
        <v>423</v>
      </c>
      <c r="U47" s="237"/>
      <c r="V47" s="2495"/>
      <c r="W47" s="2496"/>
      <c r="X47" s="2496"/>
      <c r="Y47" s="2496"/>
      <c r="Z47" s="2496"/>
      <c r="AA47" s="2496"/>
      <c r="AB47" s="2496"/>
      <c r="AC47" s="2497"/>
      <c r="AD47" s="2495"/>
      <c r="AE47" s="2496"/>
      <c r="AF47" s="2496"/>
      <c r="AG47" s="2496"/>
      <c r="AH47" s="2496"/>
      <c r="AI47" s="2496"/>
      <c r="AJ47" s="2496"/>
      <c r="AK47" s="2496"/>
      <c r="AL47" s="2497"/>
      <c r="AM47" s="1181" t="s">
        <v>424</v>
      </c>
      <c r="AO47" s="436"/>
      <c r="AP47" s="436" t="str">
        <f t="shared" si="1"/>
        <v>Схема подключения теплопотребляющей установки к коллектору источника тепловой энергии</v>
      </c>
      <c r="AQ47" s="436"/>
      <c r="AR47" s="436"/>
      <c r="AS47" s="1078">
        <v>47</v>
      </c>
    </row>
    <row r="48" spans="1:45" ht="24" customHeight="1">
      <c r="A48" s="1286" t="s">
        <v>177</v>
      </c>
      <c r="B48" s="1286" t="s">
        <v>178</v>
      </c>
      <c r="C48" s="1286" t="s">
        <v>179</v>
      </c>
      <c r="D48" s="1286" t="s">
        <v>180</v>
      </c>
      <c r="E48" s="2507"/>
      <c r="F48" s="2507"/>
      <c r="G48" s="2507"/>
      <c r="H48" s="2507"/>
      <c r="I48" s="2527"/>
      <c r="J48" s="2504" t="str">
        <f>I47&amp;".1"</f>
        <v>....1.1</v>
      </c>
      <c r="K48" s="1286"/>
      <c r="L48" s="1287" t="s">
        <v>425</v>
      </c>
      <c r="P48" s="2505"/>
      <c r="Q48" s="2505">
        <v>1</v>
      </c>
      <c r="R48" s="293"/>
      <c r="S48" s="1147" t="str">
        <f>$J48</f>
        <v>....1.1</v>
      </c>
      <c r="T48" s="223" t="s">
        <v>426</v>
      </c>
      <c r="U48" s="237"/>
      <c r="V48" s="2495"/>
      <c r="W48" s="2496"/>
      <c r="X48" s="2496"/>
      <c r="Y48" s="2496"/>
      <c r="Z48" s="2496"/>
      <c r="AA48" s="2496"/>
      <c r="AB48" s="2496"/>
      <c r="AC48" s="2497"/>
      <c r="AD48" s="2495"/>
      <c r="AE48" s="2496"/>
      <c r="AF48" s="2496"/>
      <c r="AG48" s="2496"/>
      <c r="AH48" s="2496"/>
      <c r="AI48" s="2496"/>
      <c r="AJ48" s="2496"/>
      <c r="AK48" s="2496"/>
      <c r="AL48" s="2497"/>
      <c r="AM48" s="1181" t="s">
        <v>427</v>
      </c>
      <c r="AO48" s="436"/>
      <c r="AP48" s="436" t="str">
        <f t="shared" si="1"/>
        <v>Группа потребителей</v>
      </c>
      <c r="AQ48" s="436"/>
      <c r="AR48" s="436"/>
      <c r="AS48" s="1078">
        <v>23</v>
      </c>
    </row>
    <row r="49" spans="1:45" ht="24" customHeight="1">
      <c r="A49" s="1286" t="s">
        <v>177</v>
      </c>
      <c r="B49" s="1286" t="s">
        <v>178</v>
      </c>
      <c r="C49" s="1286" t="s">
        <v>179</v>
      </c>
      <c r="D49" s="1286" t="s">
        <v>180</v>
      </c>
      <c r="E49" s="2507"/>
      <c r="F49" s="2507"/>
      <c r="G49" s="2507"/>
      <c r="H49" s="2507"/>
      <c r="I49" s="2527"/>
      <c r="J49" s="2527"/>
      <c r="K49" s="2504" t="str">
        <f>J48&amp;".1"</f>
        <v>....1.1.1</v>
      </c>
      <c r="L49" s="1287" t="s">
        <v>428</v>
      </c>
      <c r="P49" s="2505"/>
      <c r="Q49" s="2505"/>
      <c r="R49" s="293">
        <v>1</v>
      </c>
      <c r="S49" s="1147" t="str">
        <f>$K49</f>
        <v>....1.1.1</v>
      </c>
      <c r="T49" s="1270"/>
      <c r="U49" s="237"/>
      <c r="V49" s="686"/>
      <c r="W49" s="262"/>
      <c r="X49" s="686"/>
      <c r="Y49" s="1180"/>
      <c r="Z49" s="2509"/>
      <c r="AA49" s="2360" t="s">
        <v>63</v>
      </c>
      <c r="AB49" s="2509"/>
      <c r="AC49" s="2360" t="s">
        <v>63</v>
      </c>
      <c r="AD49" s="686"/>
      <c r="AE49" s="262"/>
      <c r="AF49" s="686"/>
      <c r="AG49" s="1180"/>
      <c r="AH49" s="2509"/>
      <c r="AI49" s="2360" t="s">
        <v>63</v>
      </c>
      <c r="AJ49" s="2528"/>
      <c r="AK49" s="2360" t="s">
        <v>63</v>
      </c>
      <c r="AL49" s="1271"/>
      <c r="AM49" s="2501" t="s">
        <v>429</v>
      </c>
      <c r="AN49" s="447" t="e">
        <f ca="1">STRCHECKDATE(V50:AL50)</f>
        <v>#NAME?</v>
      </c>
      <c r="AO49" s="436"/>
      <c r="AP49" s="436" t="str">
        <f t="shared" si="1"/>
        <v/>
      </c>
      <c r="AQ49" s="436"/>
      <c r="AR49" s="436"/>
      <c r="AS49" s="1078">
        <v>23</v>
      </c>
    </row>
    <row r="50" spans="1:45" ht="1.1499999999999999" customHeight="1">
      <c r="A50" s="1286" t="s">
        <v>177</v>
      </c>
      <c r="B50" s="1286" t="s">
        <v>178</v>
      </c>
      <c r="C50" s="1286" t="s">
        <v>179</v>
      </c>
      <c r="D50" s="1286" t="s">
        <v>180</v>
      </c>
      <c r="E50" s="2507"/>
      <c r="F50" s="2507"/>
      <c r="G50" s="2507"/>
      <c r="H50" s="2507"/>
      <c r="I50" s="2527"/>
      <c r="J50" s="2527"/>
      <c r="K50" s="2504"/>
      <c r="L50" s="1287"/>
      <c r="P50" s="2505"/>
      <c r="Q50" s="2505"/>
      <c r="R50" s="293"/>
      <c r="S50" s="1146"/>
      <c r="T50" s="237"/>
      <c r="U50" s="237"/>
      <c r="V50" s="262"/>
      <c r="W50" s="262"/>
      <c r="X50" s="262"/>
      <c r="Y50" s="265" t="str">
        <f>Z49&amp;"-"&amp;AB49</f>
        <v>-</v>
      </c>
      <c r="Z50" s="2510"/>
      <c r="AA50" s="2360"/>
      <c r="AB50" s="2510"/>
      <c r="AC50" s="2360"/>
      <c r="AD50" s="262"/>
      <c r="AE50" s="262"/>
      <c r="AF50" s="262"/>
      <c r="AG50" s="265" t="str">
        <f>AH49&amp;"-"&amp;AJ49</f>
        <v>-</v>
      </c>
      <c r="AH50" s="2510"/>
      <c r="AI50" s="2360"/>
      <c r="AJ50" s="2529"/>
      <c r="AK50" s="2360"/>
      <c r="AL50" s="1272"/>
      <c r="AM50" s="2502"/>
      <c r="AO50" s="436"/>
      <c r="AP50" s="436" t="str">
        <f t="shared" si="1"/>
        <v/>
      </c>
      <c r="AQ50" s="436"/>
      <c r="AR50" s="436"/>
      <c r="AS50" s="1078">
        <v>1</v>
      </c>
    </row>
    <row r="51" spans="1:45" ht="11.45" customHeight="1">
      <c r="A51" s="1286" t="s">
        <v>177</v>
      </c>
      <c r="B51" s="1286" t="s">
        <v>178</v>
      </c>
      <c r="C51" s="1286" t="s">
        <v>179</v>
      </c>
      <c r="D51" s="1286" t="s">
        <v>180</v>
      </c>
      <c r="E51" s="2507"/>
      <c r="F51" s="2507"/>
      <c r="G51" s="2507"/>
      <c r="H51" s="2507"/>
      <c r="I51" s="2527"/>
      <c r="J51" s="2504"/>
      <c r="K51" s="1286"/>
      <c r="L51" s="1287"/>
      <c r="P51" s="2505"/>
      <c r="Q51" s="2505"/>
      <c r="R51" s="292"/>
      <c r="S51" s="1201"/>
      <c r="T51" s="225" t="s">
        <v>430</v>
      </c>
      <c r="U51" s="303"/>
      <c r="V51" s="303"/>
      <c r="W51" s="303"/>
      <c r="X51" s="303"/>
      <c r="Y51" s="303"/>
      <c r="Z51" s="303"/>
      <c r="AA51" s="303"/>
      <c r="AB51" s="303"/>
      <c r="AC51" s="303"/>
      <c r="AD51" s="303"/>
      <c r="AE51" s="303"/>
      <c r="AF51" s="303"/>
      <c r="AG51" s="303"/>
      <c r="AH51" s="303"/>
      <c r="AI51" s="303"/>
      <c r="AJ51" s="303"/>
      <c r="AK51" s="303"/>
      <c r="AL51" s="261"/>
      <c r="AM51" s="2503"/>
      <c r="AO51" s="436"/>
      <c r="AP51" s="436" t="str">
        <f t="shared" si="1"/>
        <v>Добавить вид теплоносителя (параметры теплоносителя)</v>
      </c>
      <c r="AQ51" s="436"/>
      <c r="AR51" s="436"/>
      <c r="AS51" s="1078">
        <v>11</v>
      </c>
    </row>
    <row r="52" spans="1:45" ht="11.45" customHeight="1">
      <c r="A52" s="1286" t="s">
        <v>177</v>
      </c>
      <c r="B52" s="1286" t="s">
        <v>178</v>
      </c>
      <c r="C52" s="1286" t="s">
        <v>179</v>
      </c>
      <c r="D52" s="1286" t="s">
        <v>180</v>
      </c>
      <c r="E52" s="2507"/>
      <c r="F52" s="2507"/>
      <c r="G52" s="2507"/>
      <c r="H52" s="2507"/>
      <c r="I52" s="2504"/>
      <c r="J52" s="1286"/>
      <c r="K52" s="1286"/>
      <c r="L52" s="1287"/>
      <c r="P52" s="2505"/>
      <c r="Q52" s="1143"/>
      <c r="R52" s="292"/>
      <c r="S52" s="1201"/>
      <c r="T52" s="224" t="s">
        <v>431</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8">
        <v>11</v>
      </c>
    </row>
    <row r="53" spans="1:45" ht="14.65" customHeight="1">
      <c r="A53" s="1286" t="s">
        <v>177</v>
      </c>
      <c r="B53" s="1286" t="s">
        <v>178</v>
      </c>
      <c r="C53" s="1286" t="s">
        <v>179</v>
      </c>
      <c r="D53" s="1286" t="s">
        <v>180</v>
      </c>
      <c r="E53" s="2507"/>
      <c r="F53" s="2507"/>
      <c r="G53" s="2507"/>
      <c r="H53" s="2506"/>
      <c r="I53" s="1286"/>
      <c r="J53" s="1286"/>
      <c r="K53" s="1286"/>
      <c r="L53" s="1287"/>
      <c r="M53" s="1288"/>
      <c r="N53" s="1288"/>
      <c r="O53" s="473"/>
      <c r="P53" s="296"/>
      <c r="Q53" s="311"/>
      <c r="R53" s="291"/>
      <c r="S53" s="1201"/>
      <c r="T53" s="301" t="s">
        <v>432</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78">
        <v>14</v>
      </c>
    </row>
    <row r="54" spans="1:45" s="1565" customFormat="1" ht="1.1499999999999999" customHeight="1">
      <c r="A54" s="1266" t="s">
        <v>177</v>
      </c>
      <c r="B54" s="1266" t="s">
        <v>178</v>
      </c>
      <c r="C54" s="1266" t="s">
        <v>179</v>
      </c>
      <c r="D54" s="1237"/>
      <c r="E54" s="2507"/>
      <c r="F54" s="2507"/>
      <c r="G54" s="2506"/>
      <c r="H54" s="1237"/>
      <c r="I54" s="1237"/>
      <c r="J54" s="1237"/>
      <c r="K54" s="1237"/>
      <c r="L54" s="1262"/>
      <c r="M54" s="1238"/>
      <c r="N54" s="1238"/>
      <c r="P54" s="1239"/>
      <c r="Q54" s="1240"/>
      <c r="R54" s="1239"/>
      <c r="S54" s="1245"/>
      <c r="T54" s="1248" t="s">
        <v>433</v>
      </c>
      <c r="U54" s="1247"/>
      <c r="V54" s="1247"/>
      <c r="W54" s="1247"/>
      <c r="X54" s="1247"/>
      <c r="Y54" s="1247"/>
      <c r="Z54" s="1247"/>
      <c r="AA54" s="1247"/>
      <c r="AB54" s="1247"/>
      <c r="AC54" s="1247"/>
      <c r="AD54" s="1247"/>
      <c r="AE54" s="1247"/>
      <c r="AF54" s="1247"/>
      <c r="AG54" s="1247"/>
      <c r="AH54" s="1247"/>
      <c r="AI54" s="1247"/>
      <c r="AJ54" s="1247"/>
      <c r="AK54" s="1247"/>
      <c r="AL54" s="1247"/>
      <c r="AM54" s="1247"/>
      <c r="AO54" s="718"/>
      <c r="AP54" s="718" t="str">
        <f t="shared" si="1"/>
        <v>Добавить источник для дифференциации</v>
      </c>
      <c r="AQ54" s="718"/>
      <c r="AR54" s="718"/>
      <c r="AS54" s="454">
        <v>1</v>
      </c>
    </row>
    <row r="55" spans="1:45" s="1565" customFormat="1" ht="1.1499999999999999" customHeight="1">
      <c r="A55" s="1266" t="s">
        <v>177</v>
      </c>
      <c r="B55" s="1266" t="s">
        <v>178</v>
      </c>
      <c r="C55" s="1237"/>
      <c r="D55" s="1237"/>
      <c r="E55" s="2507"/>
      <c r="F55" s="2506"/>
      <c r="G55" s="1237"/>
      <c r="H55" s="1237"/>
      <c r="I55" s="1237"/>
      <c r="J55" s="1237"/>
      <c r="K55" s="1237"/>
      <c r="L55" s="1262"/>
      <c r="M55" s="1244"/>
      <c r="N55" s="1244"/>
      <c r="P55" s="1239"/>
      <c r="Q55" s="1240"/>
      <c r="R55" s="1239"/>
      <c r="S55" s="1245"/>
      <c r="T55" s="1248" t="s">
        <v>434</v>
      </c>
      <c r="U55" s="1247"/>
      <c r="V55" s="1247"/>
      <c r="W55" s="1247"/>
      <c r="X55" s="1247"/>
      <c r="Y55" s="1247"/>
      <c r="Z55" s="1247"/>
      <c r="AA55" s="1247"/>
      <c r="AB55" s="1247"/>
      <c r="AC55" s="1247"/>
      <c r="AD55" s="1247"/>
      <c r="AE55" s="1247"/>
      <c r="AF55" s="1247"/>
      <c r="AG55" s="1247"/>
      <c r="AH55" s="1247"/>
      <c r="AI55" s="1247"/>
      <c r="AJ55" s="1247"/>
      <c r="AK55" s="1247"/>
      <c r="AL55" s="1247"/>
      <c r="AM55" s="1247"/>
      <c r="AO55" s="718"/>
      <c r="AP55" s="718" t="str">
        <f t="shared" si="1"/>
        <v>Добавить централизованную систему для дифференциации</v>
      </c>
      <c r="AQ55" s="718"/>
      <c r="AR55" s="718"/>
      <c r="AS55" s="454">
        <v>1</v>
      </c>
    </row>
    <row r="56" spans="1:45" s="1565" customFormat="1" ht="1.1499999999999999" customHeight="1">
      <c r="A56" s="1266" t="s">
        <v>177</v>
      </c>
      <c r="B56" s="1266"/>
      <c r="C56" s="1266"/>
      <c r="D56" s="1266"/>
      <c r="E56" s="2506"/>
      <c r="F56" s="1266"/>
      <c r="G56" s="1266"/>
      <c r="H56" s="1266"/>
      <c r="I56" s="1266"/>
      <c r="J56" s="1266"/>
      <c r="K56" s="1266"/>
      <c r="L56" s="1269"/>
      <c r="M56" s="1244"/>
      <c r="N56" s="1244"/>
      <c r="O56" s="454"/>
      <c r="P56" s="316"/>
      <c r="Q56" s="1267"/>
      <c r="R56" s="316"/>
      <c r="S56" s="1245"/>
      <c r="T56" s="1248" t="s">
        <v>435</v>
      </c>
      <c r="U56" s="1247"/>
      <c r="V56" s="1247"/>
      <c r="W56" s="1247"/>
      <c r="X56" s="1247"/>
      <c r="Y56" s="1247"/>
      <c r="Z56" s="1247"/>
      <c r="AA56" s="1247"/>
      <c r="AB56" s="1247"/>
      <c r="AC56" s="1247"/>
      <c r="AD56" s="1247"/>
      <c r="AE56" s="1247"/>
      <c r="AF56" s="1247"/>
      <c r="AG56" s="1247"/>
      <c r="AH56" s="1247"/>
      <c r="AI56" s="1247"/>
      <c r="AJ56" s="1247"/>
      <c r="AK56" s="1247"/>
      <c r="AL56" s="1247"/>
      <c r="AM56" s="1247"/>
      <c r="AO56" s="436"/>
      <c r="AP56" s="436" t="str">
        <f t="shared" si="1"/>
        <v>Добавить территорию для дифференциации</v>
      </c>
      <c r="AQ56" s="436"/>
      <c r="AR56" s="436"/>
      <c r="AS56" s="447">
        <v>1</v>
      </c>
    </row>
    <row r="57" spans="1:45" s="1565" customFormat="1" ht="1.1499999999999999" customHeight="1">
      <c r="A57" s="1237"/>
      <c r="B57" s="1237"/>
      <c r="C57" s="1237"/>
      <c r="D57" s="1237"/>
      <c r="E57" s="1266"/>
      <c r="F57" s="1237"/>
      <c r="G57" s="1237"/>
      <c r="H57" s="1237"/>
      <c r="I57" s="1237"/>
      <c r="J57" s="1237"/>
      <c r="K57" s="1237"/>
      <c r="L57" s="1262"/>
      <c r="M57" s="1244"/>
      <c r="N57" s="1244"/>
      <c r="P57" s="1239"/>
      <c r="Q57" s="1240"/>
      <c r="R57" s="1239"/>
      <c r="S57" s="1245"/>
      <c r="T57" s="1248" t="s">
        <v>463</v>
      </c>
      <c r="U57" s="1247"/>
      <c r="V57" s="1247"/>
      <c r="W57" s="1247"/>
      <c r="X57" s="1247"/>
      <c r="Y57" s="1247"/>
      <c r="Z57" s="1247"/>
      <c r="AA57" s="1247"/>
      <c r="AB57" s="1247"/>
      <c r="AC57" s="1247"/>
      <c r="AD57" s="1247"/>
      <c r="AE57" s="1247"/>
      <c r="AF57" s="1247"/>
      <c r="AG57" s="1247"/>
      <c r="AH57" s="1247"/>
      <c r="AI57" s="1247"/>
      <c r="AJ57" s="1247"/>
      <c r="AK57" s="1247"/>
      <c r="AL57" s="1247"/>
      <c r="AM57" s="1247"/>
      <c r="AO57" s="718"/>
      <c r="AP57" s="718" t="str">
        <f t="shared" si="1"/>
        <v>Добавить наименование тарифа</v>
      </c>
      <c r="AQ57" s="718"/>
      <c r="AR57" s="718"/>
      <c r="AS57" s="454">
        <v>1</v>
      </c>
    </row>
    <row r="58" spans="1:45" ht="11.45" customHeight="1">
      <c r="M58" s="1083"/>
      <c r="N58" s="1083"/>
      <c r="O58" s="473"/>
      <c r="P58" s="1078"/>
      <c r="Q58" s="1078"/>
      <c r="R58" s="1078"/>
      <c r="S58" s="1078"/>
      <c r="AN58" s="1078"/>
      <c r="AO58" s="1078"/>
      <c r="AP58" s="1078"/>
      <c r="AQ58" s="1078"/>
      <c r="AR58" s="1078"/>
      <c r="AS58" s="1078">
        <v>11</v>
      </c>
    </row>
    <row r="59" spans="1:45" ht="28.5" customHeight="1">
      <c r="O59" s="473"/>
      <c r="S59" s="1176"/>
      <c r="T59" s="2526"/>
      <c r="U59" s="2526"/>
      <c r="V59" s="2526"/>
      <c r="W59" s="2526"/>
      <c r="X59" s="2526"/>
      <c r="Y59" s="2526"/>
      <c r="Z59" s="2526"/>
      <c r="AA59" s="2526"/>
      <c r="AB59" s="2526"/>
      <c r="AC59" s="2526"/>
      <c r="AD59" s="2526"/>
      <c r="AE59" s="2526"/>
      <c r="AF59" s="2526"/>
      <c r="AG59" s="2526"/>
      <c r="AH59" s="2526"/>
      <c r="AI59" s="2526"/>
      <c r="AJ59" s="2526"/>
      <c r="AK59" s="2526"/>
      <c r="AL59" s="2526"/>
      <c r="AM59" s="2526"/>
      <c r="AS59" s="1078">
        <v>27</v>
      </c>
    </row>
    <row r="60" spans="1:45" ht="67.150000000000006" customHeight="1">
      <c r="O60" s="473"/>
      <c r="P60" s="1226"/>
      <c r="T60" s="2526"/>
      <c r="U60" s="2526"/>
      <c r="V60" s="2526"/>
      <c r="W60" s="2526"/>
      <c r="X60" s="2526"/>
      <c r="Y60" s="2526"/>
      <c r="Z60" s="2526"/>
      <c r="AA60" s="2526"/>
      <c r="AB60" s="2526"/>
      <c r="AC60" s="2526"/>
      <c r="AD60" s="2526"/>
      <c r="AE60" s="2526"/>
      <c r="AF60" s="2526"/>
      <c r="AG60" s="2526"/>
      <c r="AH60" s="2526"/>
      <c r="AI60" s="2526"/>
      <c r="AJ60" s="2526"/>
      <c r="AK60" s="2526"/>
      <c r="AL60" s="2526"/>
      <c r="AM60" s="2526"/>
      <c r="AS60" s="1078">
        <v>64</v>
      </c>
    </row>
    <row r="61" spans="1:45" ht="14.65" customHeight="1">
      <c r="O61" s="473"/>
      <c r="AS61" s="1078">
        <v>14</v>
      </c>
    </row>
    <row r="62" spans="1:45" ht="18.75" customHeight="1">
      <c r="O62" s="473"/>
      <c r="P62" s="1251"/>
      <c r="S62" s="1176"/>
      <c r="T62" s="2526"/>
      <c r="U62" s="2526"/>
      <c r="V62" s="2526"/>
      <c r="W62" s="2526"/>
      <c r="X62" s="2526"/>
      <c r="Y62" s="2526"/>
      <c r="Z62" s="2526"/>
      <c r="AA62" s="2526"/>
      <c r="AB62" s="2526"/>
      <c r="AC62" s="2526"/>
      <c r="AD62" s="2526"/>
      <c r="AE62" s="2526"/>
      <c r="AF62" s="2526"/>
      <c r="AG62" s="2526"/>
      <c r="AH62" s="2526"/>
      <c r="AI62" s="2526"/>
      <c r="AJ62" s="2526"/>
      <c r="AK62" s="2526"/>
      <c r="AL62" s="2526"/>
      <c r="AM62" s="2526"/>
      <c r="AS62" s="1078">
        <v>18</v>
      </c>
    </row>
    <row r="63" spans="1:45" ht="18.75" customHeight="1">
      <c r="O63" s="473"/>
      <c r="P63" s="1251"/>
      <c r="T63" s="2526"/>
      <c r="U63" s="2526"/>
      <c r="V63" s="2526"/>
      <c r="W63" s="2526"/>
      <c r="X63" s="2526"/>
      <c r="Y63" s="2526"/>
      <c r="Z63" s="2526"/>
      <c r="AA63" s="2526"/>
      <c r="AB63" s="2526"/>
      <c r="AC63" s="2526"/>
      <c r="AD63" s="2526"/>
      <c r="AE63" s="2526"/>
      <c r="AF63" s="2526"/>
      <c r="AG63" s="2526"/>
      <c r="AH63" s="2526"/>
      <c r="AI63" s="2526"/>
      <c r="AJ63" s="2526"/>
      <c r="AK63" s="2526"/>
      <c r="AL63" s="2526"/>
      <c r="AM63" s="2526"/>
      <c r="AS63" s="1078">
        <v>18</v>
      </c>
    </row>
    <row r="64" spans="1:45" ht="29.25" customHeight="1">
      <c r="O64" s="473"/>
      <c r="P64" s="1251"/>
      <c r="S64" s="1176"/>
      <c r="T64" s="2526"/>
      <c r="U64" s="2526"/>
      <c r="V64" s="2526"/>
      <c r="W64" s="2526"/>
      <c r="X64" s="2526"/>
      <c r="Y64" s="2526"/>
      <c r="Z64" s="2526"/>
      <c r="AA64" s="2526"/>
      <c r="AB64" s="2526"/>
      <c r="AC64" s="2526"/>
      <c r="AD64" s="2526"/>
      <c r="AE64" s="2526"/>
      <c r="AF64" s="2526"/>
      <c r="AG64" s="2526"/>
      <c r="AH64" s="2526"/>
      <c r="AI64" s="2526"/>
      <c r="AJ64" s="2526"/>
      <c r="AK64" s="2526"/>
      <c r="AL64" s="2526"/>
      <c r="AM64" s="2526"/>
      <c r="AS64" s="1078">
        <v>28</v>
      </c>
    </row>
    <row r="65" spans="1:45" ht="22.5" hidden="1" customHeight="1">
      <c r="A65" s="1083" t="s">
        <v>83</v>
      </c>
      <c r="B65" s="1083">
        <v>0</v>
      </c>
      <c r="C65" s="1083">
        <v>0</v>
      </c>
      <c r="D65" s="1083">
        <v>0</v>
      </c>
      <c r="E65" s="1083">
        <v>0</v>
      </c>
      <c r="F65" s="1083">
        <v>0</v>
      </c>
      <c r="G65" s="1083">
        <v>0</v>
      </c>
      <c r="H65" s="1083">
        <v>0</v>
      </c>
      <c r="I65" s="1083">
        <v>0</v>
      </c>
      <c r="J65" s="1083">
        <v>0</v>
      </c>
      <c r="K65" s="1083">
        <v>0</v>
      </c>
      <c r="L65" s="1252">
        <v>0</v>
      </c>
      <c r="M65" s="1285">
        <v>0</v>
      </c>
      <c r="N65" s="1285">
        <v>0</v>
      </c>
      <c r="O65" s="1285">
        <v>0</v>
      </c>
      <c r="P65" s="1141">
        <v>3</v>
      </c>
      <c r="Q65" s="281">
        <v>3</v>
      </c>
      <c r="R65" s="281">
        <v>3</v>
      </c>
      <c r="S65" s="517">
        <v>12</v>
      </c>
      <c r="T65" s="1078">
        <v>35</v>
      </c>
      <c r="U65" s="1078">
        <v>0</v>
      </c>
      <c r="V65" s="1078">
        <v>0</v>
      </c>
      <c r="W65" s="1078">
        <v>0</v>
      </c>
      <c r="X65" s="1078">
        <v>0</v>
      </c>
      <c r="Y65" s="1078">
        <v>0</v>
      </c>
      <c r="Z65" s="1078">
        <v>0</v>
      </c>
      <c r="AA65" s="1078">
        <v>0</v>
      </c>
      <c r="AB65" s="1078">
        <v>0</v>
      </c>
      <c r="AC65" s="1078">
        <v>0</v>
      </c>
      <c r="AD65" s="1078">
        <v>24</v>
      </c>
      <c r="AE65" s="1078">
        <v>0</v>
      </c>
      <c r="AF65" s="1078">
        <v>24</v>
      </c>
      <c r="AG65" s="1078">
        <v>24</v>
      </c>
      <c r="AH65" s="1078">
        <v>11</v>
      </c>
      <c r="AI65" s="1078">
        <v>3</v>
      </c>
      <c r="AJ65" s="1078">
        <v>11</v>
      </c>
      <c r="AK65" s="1078">
        <v>0</v>
      </c>
      <c r="AL65" s="1078">
        <v>4</v>
      </c>
      <c r="AM65" s="1078">
        <v>115</v>
      </c>
      <c r="AN65" s="447">
        <v>10</v>
      </c>
      <c r="AO65" s="447">
        <v>10</v>
      </c>
      <c r="AP65" s="447">
        <v>10</v>
      </c>
      <c r="AQ65" s="447">
        <v>10</v>
      </c>
      <c r="AR65" s="447">
        <v>10</v>
      </c>
      <c r="AS65" s="1078">
        <v>23</v>
      </c>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2" style="1289" hidden="1" customWidth="1"/>
    <col min="10" max="10" width="9.85546875" style="1289" hidden="1" customWidth="1"/>
    <col min="11" max="11" width="11.42578125" style="1289" hidden="1" customWidth="1"/>
    <col min="12" max="12" width="19.140625" style="2043" hidden="1" customWidth="1"/>
    <col min="13" max="14" width="12.28515625" style="1696" hidden="1" customWidth="1"/>
    <col min="15" max="15" width="23.42578125" style="1696" hidden="1" customWidth="1"/>
    <col min="16" max="16" width="3" style="2032" customWidth="1"/>
    <col min="17" max="18" width="3" style="281" customWidth="1"/>
    <col min="19" max="19" width="12" style="2033" customWidth="1"/>
    <col min="20" max="20" width="31" style="1558" customWidth="1"/>
    <col min="21" max="21" width="0.140625" style="1558" customWidth="1"/>
    <col min="22" max="22" width="24.7109375" style="1558" hidden="1" customWidth="1"/>
    <col min="23" max="23" width="0.140625" style="1558" hidden="1" customWidth="1"/>
    <col min="24" max="25" width="24.7109375" style="1558" hidden="1" customWidth="1"/>
    <col min="26" max="26" width="11.7109375" style="1558" hidden="1" customWidth="1"/>
    <col min="27" max="27" width="3.7109375" style="1558" hidden="1" customWidth="1"/>
    <col min="28" max="28" width="11.7109375" style="1558" hidden="1" customWidth="1"/>
    <col min="29" max="29" width="8.5703125" style="1558" hidden="1" customWidth="1"/>
    <col min="30" max="30" width="24.7109375" style="1558" customWidth="1"/>
    <col min="31" max="31" width="0.140625" style="1558" customWidth="1"/>
    <col min="32" max="33" width="24" style="1558" customWidth="1"/>
    <col min="34" max="34" width="11" style="1558" customWidth="1"/>
    <col min="35" max="35" width="3.7109375" style="1558" customWidth="1"/>
    <col min="36" max="36" width="11" style="1558" customWidth="1"/>
    <col min="37" max="37" width="8.5703125" style="1558" hidden="1" customWidth="1"/>
    <col min="38" max="38" width="4" style="1558" customWidth="1"/>
    <col min="39" max="39" width="115" style="1558" customWidth="1"/>
    <col min="40" max="44" width="10" style="1565" customWidth="1"/>
    <col min="45" max="45" width="10.5703125" style="1558" hidden="1"/>
  </cols>
  <sheetData>
    <row r="1" spans="1:45" ht="22.5" hidden="1" customHeight="1">
      <c r="Y1" s="264"/>
      <c r="Z1" s="264"/>
      <c r="AG1" s="264"/>
      <c r="AH1" s="264"/>
      <c r="AS1" s="1078" t="s">
        <v>14</v>
      </c>
    </row>
    <row r="2" spans="1:45" ht="21" hidden="1" customHeight="1">
      <c r="A2" s="1286"/>
      <c r="B2" s="1286"/>
      <c r="C2" s="1286"/>
      <c r="D2" s="1286"/>
      <c r="E2" s="2506">
        <v>1</v>
      </c>
      <c r="F2" s="1286"/>
      <c r="G2" s="1286"/>
      <c r="H2" s="1286"/>
      <c r="I2" s="1286"/>
      <c r="J2" s="1286"/>
      <c r="K2" s="1286"/>
      <c r="L2" s="1287"/>
      <c r="M2" s="1288"/>
      <c r="N2" s="1288"/>
      <c r="O2" s="1288"/>
      <c r="P2" s="297"/>
      <c r="Q2" s="296"/>
      <c r="R2" s="291"/>
      <c r="S2" s="1259" t="e">
        <f>INDEX(PT_DIFFERENTIATION_NUM_NTAR,MATCH(A2,PT_DIFFERENTIATION_NTAR_ID,0))</f>
        <v>#N/A</v>
      </c>
      <c r="T2" s="235" t="s">
        <v>144</v>
      </c>
      <c r="U2" s="237"/>
      <c r="V2" s="2492"/>
      <c r="W2" s="2493"/>
      <c r="X2" s="2493"/>
      <c r="Y2" s="2493"/>
      <c r="Z2" s="2493"/>
      <c r="AA2" s="2493"/>
      <c r="AB2" s="2493"/>
      <c r="AC2" s="2494"/>
      <c r="AD2" s="2492" t="e">
        <f>INDEX(PT_DIFFERENTIATION_NTAR,MATCH(A2,PT_DIFFERENTIATION_NTAR_ID,0))</f>
        <v>#N/A</v>
      </c>
      <c r="AE2" s="2493"/>
      <c r="AF2" s="2493"/>
      <c r="AG2" s="2493"/>
      <c r="AH2" s="2493"/>
      <c r="AI2" s="2493"/>
      <c r="AJ2" s="2493"/>
      <c r="AK2" s="2493"/>
      <c r="AL2" s="2494"/>
      <c r="AM2" s="1181" t="s">
        <v>415</v>
      </c>
      <c r="AO2" s="436"/>
      <c r="AP2" s="436" t="str">
        <f t="shared" ref="AP2:AP15" si="0">IF(T2="","",T2)</f>
        <v>Наименование тарифа</v>
      </c>
      <c r="AQ2" s="436"/>
      <c r="AR2" s="436"/>
      <c r="AS2" s="1078">
        <v>0</v>
      </c>
    </row>
    <row r="3" spans="1:45" ht="21" hidden="1" customHeight="1">
      <c r="A3" s="1286"/>
      <c r="B3" s="1286"/>
      <c r="C3" s="1286"/>
      <c r="D3" s="1286"/>
      <c r="E3" s="2507"/>
      <c r="F3" s="2506">
        <v>1</v>
      </c>
      <c r="G3" s="1286"/>
      <c r="H3" s="1286"/>
      <c r="I3" s="1286"/>
      <c r="J3" s="1286"/>
      <c r="K3" s="1286"/>
      <c r="L3" s="1287"/>
      <c r="M3" s="1288"/>
      <c r="N3" s="1288"/>
      <c r="O3" s="1288"/>
      <c r="P3" s="1255"/>
      <c r="Q3" s="288"/>
      <c r="R3" s="289"/>
      <c r="S3" s="1259" t="e">
        <f>INDEX(PT_DIFFERENTIATION_NUM_TER,MATCH(B3,PT_DIFFERENTIATION_TER_ID,0))</f>
        <v>#N/A</v>
      </c>
      <c r="T3" s="245" t="s">
        <v>416</v>
      </c>
      <c r="U3" s="237"/>
      <c r="V3" s="2492"/>
      <c r="W3" s="2493"/>
      <c r="X3" s="2493"/>
      <c r="Y3" s="2493"/>
      <c r="Z3" s="2493"/>
      <c r="AA3" s="2493"/>
      <c r="AB3" s="2493"/>
      <c r="AC3" s="2494"/>
      <c r="AD3" s="2492" t="e">
        <f>INDEX(PT_DIFFERENTIATION_TER,MATCH(B3,PT_DIFFERENTIATION_TER_ID,0))</f>
        <v>#N/A</v>
      </c>
      <c r="AE3" s="2493"/>
      <c r="AF3" s="2493"/>
      <c r="AG3" s="2493"/>
      <c r="AH3" s="2493"/>
      <c r="AI3" s="2493"/>
      <c r="AJ3" s="2493"/>
      <c r="AK3" s="2493"/>
      <c r="AL3" s="2494"/>
      <c r="AM3" s="1181" t="s">
        <v>417</v>
      </c>
      <c r="AO3" s="436"/>
      <c r="AP3" s="436" t="str">
        <f t="shared" si="0"/>
        <v>Территория действия тарифа</v>
      </c>
      <c r="AQ3" s="436"/>
      <c r="AR3" s="436"/>
      <c r="AS3" s="1078">
        <v>0</v>
      </c>
    </row>
    <row r="4" spans="1:45" ht="23.25" hidden="1" customHeight="1">
      <c r="A4" s="1286"/>
      <c r="B4" s="1286"/>
      <c r="C4" s="1286"/>
      <c r="D4" s="1286"/>
      <c r="E4" s="2507"/>
      <c r="F4" s="2507"/>
      <c r="G4" s="2506">
        <v>1</v>
      </c>
      <c r="H4" s="1286"/>
      <c r="I4" s="1286"/>
      <c r="J4" s="1286"/>
      <c r="K4" s="1286"/>
      <c r="L4" s="1287"/>
      <c r="M4" s="1288"/>
      <c r="N4" s="1288"/>
      <c r="O4" s="1288"/>
      <c r="P4" s="290"/>
      <c r="Q4" s="288"/>
      <c r="R4" s="289"/>
      <c r="S4" s="1259" t="e">
        <f>INDEX(PT_DIFFERENTIATION_NUM_CS,MATCH(C4,PT_DIFFERENTIATION_CS_ID,0))</f>
        <v>#N/A</v>
      </c>
      <c r="T4" s="246" t="s">
        <v>418</v>
      </c>
      <c r="U4" s="237"/>
      <c r="V4" s="2492"/>
      <c r="W4" s="2493"/>
      <c r="X4" s="2493"/>
      <c r="Y4" s="2493"/>
      <c r="Z4" s="2493"/>
      <c r="AA4" s="2493"/>
      <c r="AB4" s="2493"/>
      <c r="AC4" s="2494"/>
      <c r="AD4" s="2492" t="e">
        <f>INDEX(PT_DIFFERENTIATION_CS,MATCH(C4,PT_DIFFERENTIATION_CS_ID,0))</f>
        <v>#N/A</v>
      </c>
      <c r="AE4" s="2493"/>
      <c r="AF4" s="2493"/>
      <c r="AG4" s="2493"/>
      <c r="AH4" s="2493"/>
      <c r="AI4" s="2493"/>
      <c r="AJ4" s="2493"/>
      <c r="AK4" s="2493"/>
      <c r="AL4" s="2494"/>
      <c r="AM4" s="1181" t="s">
        <v>419</v>
      </c>
      <c r="AO4" s="436"/>
      <c r="AP4" s="436" t="str">
        <f t="shared" si="0"/>
        <v xml:space="preserve">Наименование системы теплоснабжения </v>
      </c>
      <c r="AQ4" s="436"/>
      <c r="AR4" s="436"/>
      <c r="AS4" s="1078">
        <v>0</v>
      </c>
    </row>
    <row r="5" spans="1:45" ht="21" hidden="1" customHeight="1">
      <c r="A5" s="1286"/>
      <c r="B5" s="1286"/>
      <c r="C5" s="1286"/>
      <c r="D5" s="1286"/>
      <c r="E5" s="2507"/>
      <c r="F5" s="2507"/>
      <c r="G5" s="2507"/>
      <c r="H5" s="2506">
        <v>1</v>
      </c>
      <c r="I5" s="1286"/>
      <c r="J5" s="1286"/>
      <c r="K5" s="1286"/>
      <c r="L5" s="1287"/>
      <c r="M5" s="1288"/>
      <c r="N5" s="1288"/>
      <c r="O5" s="1288"/>
      <c r="P5" s="290"/>
      <c r="Q5" s="288"/>
      <c r="R5" s="289"/>
      <c r="S5" s="1259" t="e">
        <f>INDEX(PT_DIFFERENTIATION_NUM_IST_TE,MATCH(D5,PT_DIFFERENTIATION_IST_TE_ID,0))</f>
        <v>#N/A</v>
      </c>
      <c r="T5" s="247" t="s">
        <v>420</v>
      </c>
      <c r="U5" s="237"/>
      <c r="V5" s="2492"/>
      <c r="W5" s="2493"/>
      <c r="X5" s="2493"/>
      <c r="Y5" s="2493"/>
      <c r="Z5" s="2493"/>
      <c r="AA5" s="2493"/>
      <c r="AB5" s="2493"/>
      <c r="AC5" s="2494"/>
      <c r="AD5" s="2492" t="e">
        <f>INDEX(PT_DIFFERENTIATION_IST_TE,MATCH(D5,PT_DIFFERENTIATION_IST_TE_ID,0))</f>
        <v>#N/A</v>
      </c>
      <c r="AE5" s="2493"/>
      <c r="AF5" s="2493"/>
      <c r="AG5" s="2493"/>
      <c r="AH5" s="2493"/>
      <c r="AI5" s="2493"/>
      <c r="AJ5" s="2493"/>
      <c r="AK5" s="2493"/>
      <c r="AL5" s="2494"/>
      <c r="AM5" s="1181" t="s">
        <v>421</v>
      </c>
      <c r="AO5" s="436"/>
      <c r="AP5" s="436" t="str">
        <f t="shared" si="0"/>
        <v xml:space="preserve">Источник тепловой энергии  </v>
      </c>
      <c r="AQ5" s="436"/>
      <c r="AR5" s="436"/>
      <c r="AS5" s="1078">
        <v>0</v>
      </c>
    </row>
    <row r="6" spans="1:45" ht="47.25" hidden="1" customHeight="1">
      <c r="A6" s="1286"/>
      <c r="B6" s="1286"/>
      <c r="C6" s="1286"/>
      <c r="D6" s="1286"/>
      <c r="E6" s="2507"/>
      <c r="F6" s="2507"/>
      <c r="G6" s="2507"/>
      <c r="H6" s="2507"/>
      <c r="I6" s="2504" t="e">
        <f>S5&amp;".1"</f>
        <v>#N/A</v>
      </c>
      <c r="J6" s="1286"/>
      <c r="K6" s="1286"/>
      <c r="L6" s="1287" t="s">
        <v>422</v>
      </c>
      <c r="M6" s="473"/>
      <c r="P6" s="2505">
        <v>1</v>
      </c>
      <c r="Q6" s="1254"/>
      <c r="R6" s="292"/>
      <c r="S6" s="1259" t="e">
        <f>$I6</f>
        <v>#N/A</v>
      </c>
      <c r="T6" s="222" t="s">
        <v>423</v>
      </c>
      <c r="U6" s="237"/>
      <c r="V6" s="2495"/>
      <c r="W6" s="2496"/>
      <c r="X6" s="2496"/>
      <c r="Y6" s="2496"/>
      <c r="Z6" s="2496"/>
      <c r="AA6" s="2496"/>
      <c r="AB6" s="2496"/>
      <c r="AC6" s="2497"/>
      <c r="AD6" s="2495"/>
      <c r="AE6" s="2496"/>
      <c r="AF6" s="2496"/>
      <c r="AG6" s="2496"/>
      <c r="AH6" s="2496"/>
      <c r="AI6" s="2496"/>
      <c r="AJ6" s="2496"/>
      <c r="AK6" s="2496"/>
      <c r="AL6" s="2497"/>
      <c r="AM6" s="1181" t="s">
        <v>424</v>
      </c>
      <c r="AO6" s="436"/>
      <c r="AP6" s="436" t="str">
        <f t="shared" si="0"/>
        <v>Схема подключения теплопотребляющей установки к коллектору источника тепловой энергии</v>
      </c>
      <c r="AQ6" s="436"/>
      <c r="AR6" s="436"/>
      <c r="AS6" s="1078">
        <v>0</v>
      </c>
    </row>
    <row r="7" spans="1:45" ht="21" hidden="1" customHeight="1">
      <c r="A7" s="1286"/>
      <c r="B7" s="1286"/>
      <c r="C7" s="1286"/>
      <c r="D7" s="1286"/>
      <c r="E7" s="2507"/>
      <c r="F7" s="2507"/>
      <c r="G7" s="2507"/>
      <c r="H7" s="2507"/>
      <c r="I7" s="2527"/>
      <c r="J7" s="2504" t="e">
        <f>I6&amp;".1"</f>
        <v>#N/A</v>
      </c>
      <c r="K7" s="1286"/>
      <c r="L7" s="1287" t="s">
        <v>425</v>
      </c>
      <c r="M7" s="473"/>
      <c r="N7" s="1289"/>
      <c r="P7" s="2505"/>
      <c r="Q7" s="2505">
        <v>1</v>
      </c>
      <c r="R7" s="293"/>
      <c r="S7" s="1259" t="e">
        <f>$J7</f>
        <v>#N/A</v>
      </c>
      <c r="T7" s="223" t="s">
        <v>426</v>
      </c>
      <c r="U7" s="237"/>
      <c r="V7" s="2495"/>
      <c r="W7" s="2496"/>
      <c r="X7" s="2496"/>
      <c r="Y7" s="2496"/>
      <c r="Z7" s="2496"/>
      <c r="AA7" s="2496"/>
      <c r="AB7" s="2496"/>
      <c r="AC7" s="2497"/>
      <c r="AD7" s="2495"/>
      <c r="AE7" s="2496"/>
      <c r="AF7" s="2496"/>
      <c r="AG7" s="2496"/>
      <c r="AH7" s="2496"/>
      <c r="AI7" s="2496"/>
      <c r="AJ7" s="2496"/>
      <c r="AK7" s="2496"/>
      <c r="AL7" s="2497"/>
      <c r="AM7" s="1181" t="s">
        <v>427</v>
      </c>
      <c r="AO7" s="436"/>
      <c r="AP7" s="436" t="str">
        <f t="shared" si="0"/>
        <v>Группа потребителей</v>
      </c>
      <c r="AQ7" s="436"/>
      <c r="AR7" s="436"/>
      <c r="AS7" s="1078">
        <v>0</v>
      </c>
    </row>
    <row r="8" spans="1:45" ht="21" hidden="1" customHeight="1">
      <c r="A8" s="1286"/>
      <c r="B8" s="1286"/>
      <c r="C8" s="1286"/>
      <c r="D8" s="1286"/>
      <c r="E8" s="2507"/>
      <c r="F8" s="2507"/>
      <c r="G8" s="2507"/>
      <c r="H8" s="2507"/>
      <c r="I8" s="2527"/>
      <c r="J8" s="2527"/>
      <c r="K8" s="2504" t="e">
        <f>J7&amp;".1"</f>
        <v>#N/A</v>
      </c>
      <c r="L8" s="1287" t="s">
        <v>428</v>
      </c>
      <c r="M8" s="473"/>
      <c r="N8" s="1289"/>
      <c r="O8" s="1289"/>
      <c r="P8" s="2505"/>
      <c r="Q8" s="2505"/>
      <c r="R8" s="293">
        <v>1</v>
      </c>
      <c r="S8" s="1259" t="e">
        <f>$K8</f>
        <v>#N/A</v>
      </c>
      <c r="T8" s="1270"/>
      <c r="U8" s="237"/>
      <c r="V8" s="686"/>
      <c r="W8" s="262"/>
      <c r="X8" s="686"/>
      <c r="Y8" s="1180"/>
      <c r="Z8" s="2509"/>
      <c r="AA8" s="2360" t="s">
        <v>63</v>
      </c>
      <c r="AB8" s="2509"/>
      <c r="AC8" s="2360" t="s">
        <v>63</v>
      </c>
      <c r="AD8" s="686"/>
      <c r="AE8" s="262"/>
      <c r="AF8" s="686"/>
      <c r="AG8" s="1180"/>
      <c r="AH8" s="2509"/>
      <c r="AI8" s="2360" t="s">
        <v>63</v>
      </c>
      <c r="AJ8" s="2509"/>
      <c r="AK8" s="2360" t="s">
        <v>63</v>
      </c>
      <c r="AL8" s="262"/>
      <c r="AM8" s="2501" t="s">
        <v>429</v>
      </c>
      <c r="AN8" s="447" t="e">
        <f ca="1">STRCHECKDATE(V9:AL9)</f>
        <v>#NAME?</v>
      </c>
      <c r="AO8" s="436"/>
      <c r="AP8" s="436" t="str">
        <f t="shared" si="0"/>
        <v/>
      </c>
      <c r="AQ8" s="436"/>
      <c r="AR8" s="436"/>
      <c r="AS8" s="1078">
        <v>0</v>
      </c>
    </row>
    <row r="9" spans="1:45" ht="0.75" hidden="1" customHeight="1">
      <c r="A9" s="1286"/>
      <c r="B9" s="1286"/>
      <c r="C9" s="1286"/>
      <c r="D9" s="1286"/>
      <c r="E9" s="2507"/>
      <c r="F9" s="2507"/>
      <c r="G9" s="2507"/>
      <c r="H9" s="2507"/>
      <c r="I9" s="2527"/>
      <c r="J9" s="2527"/>
      <c r="K9" s="2504"/>
      <c r="L9" s="1287"/>
      <c r="M9" s="473"/>
      <c r="N9" s="1289"/>
      <c r="O9" s="1289"/>
      <c r="P9" s="2505"/>
      <c r="Q9" s="2505"/>
      <c r="R9" s="293"/>
      <c r="S9" s="1265"/>
      <c r="T9" s="237"/>
      <c r="U9" s="237"/>
      <c r="V9" s="262"/>
      <c r="W9" s="262"/>
      <c r="X9" s="262"/>
      <c r="Y9" s="265" t="str">
        <f>Z8&amp;"-"&amp;AB8</f>
        <v>-</v>
      </c>
      <c r="Z9" s="2510"/>
      <c r="AA9" s="2360"/>
      <c r="AB9" s="2510"/>
      <c r="AC9" s="2360"/>
      <c r="AD9" s="262"/>
      <c r="AE9" s="262"/>
      <c r="AF9" s="262"/>
      <c r="AG9" s="265" t="str">
        <f>AH8&amp;"-"&amp;AJ8</f>
        <v>-</v>
      </c>
      <c r="AH9" s="2510"/>
      <c r="AI9" s="2360"/>
      <c r="AJ9" s="2510"/>
      <c r="AK9" s="2360"/>
      <c r="AL9" s="262"/>
      <c r="AM9" s="2502"/>
      <c r="AO9" s="436"/>
      <c r="AP9" s="436" t="str">
        <f t="shared" si="0"/>
        <v/>
      </c>
      <c r="AQ9" s="436"/>
      <c r="AR9" s="436"/>
      <c r="AS9" s="1078">
        <v>0</v>
      </c>
    </row>
    <row r="10" spans="1:45" ht="15" hidden="1" customHeight="1">
      <c r="A10" s="1286"/>
      <c r="B10" s="1286"/>
      <c r="C10" s="1286"/>
      <c r="D10" s="1286"/>
      <c r="E10" s="2507"/>
      <c r="F10" s="2507"/>
      <c r="G10" s="2507"/>
      <c r="H10" s="2507"/>
      <c r="I10" s="2527"/>
      <c r="J10" s="2504"/>
      <c r="K10" s="1286"/>
      <c r="L10" s="1287"/>
      <c r="M10" s="473"/>
      <c r="N10" s="1289"/>
      <c r="P10" s="2505"/>
      <c r="Q10" s="2505"/>
      <c r="R10" s="292"/>
      <c r="S10" s="1201"/>
      <c r="T10" s="225" t="s">
        <v>430</v>
      </c>
      <c r="U10" s="303"/>
      <c r="V10" s="303"/>
      <c r="W10" s="303"/>
      <c r="X10" s="303"/>
      <c r="Y10" s="303"/>
      <c r="Z10" s="303"/>
      <c r="AA10" s="303"/>
      <c r="AB10" s="303"/>
      <c r="AC10" s="303"/>
      <c r="AD10" s="303"/>
      <c r="AE10" s="303"/>
      <c r="AF10" s="303"/>
      <c r="AG10" s="303"/>
      <c r="AH10" s="303"/>
      <c r="AI10" s="303"/>
      <c r="AJ10" s="303"/>
      <c r="AK10" s="303"/>
      <c r="AL10" s="261"/>
      <c r="AM10" s="2503"/>
      <c r="AO10" s="436"/>
      <c r="AP10" s="436" t="str">
        <f t="shared" si="0"/>
        <v>Добавить вид теплоносителя (параметры теплоносителя)</v>
      </c>
      <c r="AQ10" s="436"/>
      <c r="AR10" s="436"/>
      <c r="AS10" s="1078">
        <v>0</v>
      </c>
    </row>
    <row r="11" spans="1:45" ht="15" hidden="1" customHeight="1">
      <c r="A11" s="1286"/>
      <c r="B11" s="1286"/>
      <c r="C11" s="1286"/>
      <c r="D11" s="1286"/>
      <c r="E11" s="2507"/>
      <c r="F11" s="2507"/>
      <c r="G11" s="2507"/>
      <c r="H11" s="2507"/>
      <c r="I11" s="2504"/>
      <c r="J11" s="1286"/>
      <c r="K11" s="1286"/>
      <c r="L11" s="1287"/>
      <c r="M11" s="473"/>
      <c r="P11" s="2505"/>
      <c r="Q11" s="1254"/>
      <c r="R11" s="292"/>
      <c r="S11" s="1201"/>
      <c r="T11" s="224" t="s">
        <v>431</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8">
        <v>0</v>
      </c>
    </row>
    <row r="12" spans="1:45" ht="14.25" hidden="1" customHeight="1">
      <c r="A12" s="1286"/>
      <c r="B12" s="1286"/>
      <c r="C12" s="1286"/>
      <c r="D12" s="1286"/>
      <c r="E12" s="2507"/>
      <c r="F12" s="2507"/>
      <c r="G12" s="2507"/>
      <c r="H12" s="2506"/>
      <c r="I12" s="1286"/>
      <c r="J12" s="1286"/>
      <c r="K12" s="1286"/>
      <c r="L12" s="1287"/>
      <c r="M12" s="1288"/>
      <c r="N12" s="1288"/>
      <c r="O12" s="473"/>
      <c r="P12" s="296"/>
      <c r="Q12" s="311"/>
      <c r="R12" s="291"/>
      <c r="S12" s="1201"/>
      <c r="T12" s="301" t="s">
        <v>432</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78">
        <v>0</v>
      </c>
    </row>
    <row r="13" spans="1:45" s="1565" customFormat="1" ht="0.75" hidden="1" customHeight="1">
      <c r="A13" s="1237"/>
      <c r="B13" s="1237"/>
      <c r="C13" s="1237"/>
      <c r="D13" s="1237"/>
      <c r="E13" s="2507"/>
      <c r="F13" s="2507"/>
      <c r="G13" s="2506"/>
      <c r="H13" s="1237"/>
      <c r="I13" s="1237"/>
      <c r="J13" s="1237"/>
      <c r="K13" s="1237"/>
      <c r="L13" s="1262"/>
      <c r="M13" s="1238"/>
      <c r="N13" s="1238"/>
      <c r="P13" s="1239"/>
      <c r="Q13" s="1240"/>
      <c r="R13" s="1239"/>
      <c r="S13" s="1241"/>
      <c r="T13" s="1242" t="s">
        <v>433</v>
      </c>
      <c r="U13" s="1243"/>
      <c r="V13" s="1243"/>
      <c r="W13" s="1243"/>
      <c r="X13" s="1243"/>
      <c r="Y13" s="1243"/>
      <c r="Z13" s="1243"/>
      <c r="AA13" s="1243"/>
      <c r="AB13" s="1243"/>
      <c r="AC13" s="1243"/>
      <c r="AD13" s="1243"/>
      <c r="AE13" s="1243"/>
      <c r="AF13" s="1243"/>
      <c r="AG13" s="1243"/>
      <c r="AH13" s="1243"/>
      <c r="AI13" s="1243"/>
      <c r="AJ13" s="1243"/>
      <c r="AK13" s="1243"/>
      <c r="AL13" s="1243"/>
      <c r="AM13" s="1243"/>
      <c r="AO13" s="718"/>
      <c r="AP13" s="718" t="str">
        <f t="shared" si="0"/>
        <v>Добавить источник для дифференциации</v>
      </c>
      <c r="AQ13" s="718"/>
      <c r="AR13" s="718"/>
      <c r="AS13" s="454">
        <v>0</v>
      </c>
    </row>
    <row r="14" spans="1:45" s="1565" customFormat="1" ht="0.75" hidden="1" customHeight="1">
      <c r="A14" s="1237"/>
      <c r="B14" s="1237"/>
      <c r="C14" s="1237"/>
      <c r="D14" s="1237"/>
      <c r="E14" s="2507"/>
      <c r="F14" s="2506"/>
      <c r="G14" s="1237"/>
      <c r="H14" s="1237"/>
      <c r="I14" s="1237"/>
      <c r="J14" s="1237"/>
      <c r="K14" s="1237"/>
      <c r="L14" s="1262"/>
      <c r="M14" s="1244"/>
      <c r="N14" s="1244"/>
      <c r="P14" s="1239"/>
      <c r="Q14" s="1240"/>
      <c r="R14" s="1239"/>
      <c r="S14" s="1245"/>
      <c r="T14" s="1246" t="s">
        <v>434</v>
      </c>
      <c r="U14" s="1247"/>
      <c r="V14" s="1247"/>
      <c r="W14" s="1247"/>
      <c r="X14" s="1247"/>
      <c r="Y14" s="1247"/>
      <c r="Z14" s="1247"/>
      <c r="AA14" s="1247"/>
      <c r="AB14" s="1247"/>
      <c r="AC14" s="1247"/>
      <c r="AD14" s="1247"/>
      <c r="AE14" s="1247"/>
      <c r="AF14" s="1247"/>
      <c r="AG14" s="1247"/>
      <c r="AH14" s="1247"/>
      <c r="AI14" s="1247"/>
      <c r="AJ14" s="1247"/>
      <c r="AK14" s="1247"/>
      <c r="AL14" s="1247"/>
      <c r="AM14" s="1247"/>
      <c r="AO14" s="718"/>
      <c r="AP14" s="718" t="str">
        <f t="shared" si="0"/>
        <v>Добавить централизованную систему для дифференциации</v>
      </c>
      <c r="AQ14" s="718"/>
      <c r="AR14" s="718"/>
      <c r="AS14" s="454">
        <v>0</v>
      </c>
    </row>
    <row r="15" spans="1:45" s="1565" customFormat="1" ht="0.75" hidden="1" customHeight="1">
      <c r="A15" s="1237"/>
      <c r="B15" s="1237"/>
      <c r="C15" s="1237"/>
      <c r="D15" s="1237"/>
      <c r="E15" s="2506"/>
      <c r="F15" s="1237"/>
      <c r="G15" s="1237"/>
      <c r="H15" s="1237"/>
      <c r="I15" s="1237"/>
      <c r="J15" s="1237"/>
      <c r="K15" s="1237"/>
      <c r="L15" s="1262"/>
      <c r="M15" s="1244"/>
      <c r="N15" s="1244"/>
      <c r="P15" s="1239"/>
      <c r="Q15" s="1240"/>
      <c r="R15" s="1239"/>
      <c r="S15" s="1245"/>
      <c r="T15" s="1248" t="s">
        <v>435</v>
      </c>
      <c r="U15" s="1247"/>
      <c r="V15" s="1247"/>
      <c r="W15" s="1247"/>
      <c r="X15" s="1247"/>
      <c r="Y15" s="1247"/>
      <c r="Z15" s="1247"/>
      <c r="AA15" s="1247"/>
      <c r="AB15" s="1247"/>
      <c r="AC15" s="1247"/>
      <c r="AD15" s="1247"/>
      <c r="AE15" s="1247"/>
      <c r="AF15" s="1247"/>
      <c r="AG15" s="1247"/>
      <c r="AH15" s="1247"/>
      <c r="AI15" s="1247"/>
      <c r="AJ15" s="1247"/>
      <c r="AK15" s="1247"/>
      <c r="AL15" s="1247"/>
      <c r="AM15" s="1247"/>
      <c r="AO15" s="718"/>
      <c r="AP15" s="718" t="str">
        <f t="shared" si="0"/>
        <v>Добавить территорию для дифференциации</v>
      </c>
      <c r="AQ15" s="718"/>
      <c r="AR15" s="718"/>
      <c r="AS15" s="454">
        <v>0</v>
      </c>
    </row>
    <row r="16" spans="1:45" ht="14.25" hidden="1" customHeight="1">
      <c r="AC16" s="264"/>
      <c r="AK16" s="264"/>
      <c r="AS16" s="1078">
        <v>0</v>
      </c>
    </row>
    <row r="17" spans="1:45" ht="14.25" hidden="1" customHeight="1">
      <c r="AD17" s="1283"/>
      <c r="AE17" s="1283"/>
      <c r="AF17" s="1283"/>
      <c r="AG17" s="1284"/>
      <c r="AH17" s="2511"/>
      <c r="AI17" s="2512" t="s">
        <v>63</v>
      </c>
      <c r="AJ17" s="2511"/>
      <c r="AK17" s="2512" t="s">
        <v>63</v>
      </c>
      <c r="AS17" s="1078">
        <v>0</v>
      </c>
    </row>
    <row r="18" spans="1:45" ht="14.25" hidden="1" customHeight="1">
      <c r="AD18" s="1283"/>
      <c r="AE18" s="1283"/>
      <c r="AF18" s="1283"/>
      <c r="AG18" s="265" t="str">
        <f>AH17&amp;"-"&amp;AJ17</f>
        <v>-</v>
      </c>
      <c r="AH18" s="2512"/>
      <c r="AI18" s="2512"/>
      <c r="AJ18" s="2512"/>
      <c r="AK18" s="2512"/>
      <c r="AS18" s="1078">
        <v>0</v>
      </c>
    </row>
    <row r="19" spans="1:45" ht="14.25" hidden="1" customHeight="1">
      <c r="AK19" s="264"/>
      <c r="AS19" s="1078">
        <v>0</v>
      </c>
    </row>
    <row r="20" spans="1:45" s="1289" customFormat="1" ht="22.5" hidden="1" customHeight="1">
      <c r="L20" s="1252"/>
      <c r="M20" s="1285"/>
      <c r="N20" s="1285"/>
      <c r="O20" s="1290" t="s">
        <v>436</v>
      </c>
      <c r="P20" s="1285"/>
      <c r="Q20" s="1294"/>
      <c r="R20" s="1294"/>
      <c r="S20" s="665"/>
      <c r="Z20" s="1290"/>
      <c r="AB20" s="1290"/>
      <c r="AH20" s="1290"/>
      <c r="AJ20" s="1290"/>
      <c r="AN20" s="447"/>
      <c r="AO20" s="447"/>
      <c r="AP20" s="447"/>
      <c r="AQ20" s="447"/>
      <c r="AR20" s="447"/>
      <c r="AS20" s="1083">
        <v>0</v>
      </c>
    </row>
    <row r="21" spans="1:45" s="1289" customFormat="1" ht="14.25" hidden="1" customHeight="1">
      <c r="L21" s="1252"/>
      <c r="M21" s="1285"/>
      <c r="N21" s="1285"/>
      <c r="O21" s="1285"/>
      <c r="P21" s="1285"/>
      <c r="Q21" s="1294"/>
      <c r="R21" s="1294"/>
      <c r="S21" s="665"/>
      <c r="AN21" s="447"/>
      <c r="AO21" s="447"/>
      <c r="AP21" s="447"/>
      <c r="AQ21" s="447"/>
      <c r="AR21" s="447"/>
      <c r="AS21" s="1083">
        <v>0</v>
      </c>
    </row>
    <row r="22" spans="1:45" s="1289" customFormat="1" ht="14.25" hidden="1" customHeight="1">
      <c r="L22" s="1252"/>
      <c r="M22" s="1285"/>
      <c r="N22" s="1285"/>
      <c r="O22" s="1287" t="s">
        <v>437</v>
      </c>
      <c r="P22" s="1285"/>
      <c r="Q22" s="1294"/>
      <c r="R22" s="1294"/>
      <c r="S22" s="665"/>
      <c r="T22" s="1083" t="s">
        <v>438</v>
      </c>
      <c r="AA22" s="123" t="s">
        <v>439</v>
      </c>
      <c r="AC22" s="123" t="s">
        <v>440</v>
      </c>
      <c r="AD22" s="1083" t="s">
        <v>438</v>
      </c>
      <c r="AI22" s="123" t="s">
        <v>441</v>
      </c>
      <c r="AK22" s="123" t="s">
        <v>440</v>
      </c>
      <c r="AN22" s="447"/>
      <c r="AO22" s="447"/>
      <c r="AP22" s="447"/>
      <c r="AQ22" s="447"/>
      <c r="AR22" s="447"/>
      <c r="AS22" s="1083">
        <v>0</v>
      </c>
    </row>
    <row r="23" spans="1:45" ht="14.25" hidden="1" customHeight="1">
      <c r="O23" s="1287"/>
      <c r="AS23" s="1078">
        <v>0</v>
      </c>
    </row>
    <row r="24" spans="1:45" ht="14.25" hidden="1" customHeight="1">
      <c r="O24" s="1287"/>
      <c r="AS24" s="1078">
        <v>0</v>
      </c>
    </row>
    <row r="25" spans="1:45" ht="14.65" customHeight="1">
      <c r="Q25" s="312"/>
      <c r="R25" s="312"/>
      <c r="S25" s="1198"/>
      <c r="T25" s="299"/>
      <c r="U25" s="299"/>
      <c r="V25" s="445"/>
      <c r="W25" s="445"/>
      <c r="X25" s="445"/>
      <c r="Y25" s="445"/>
      <c r="Z25" s="445"/>
      <c r="AA25" s="445"/>
      <c r="AB25" s="445"/>
      <c r="AC25" s="445"/>
      <c r="AD25" s="445"/>
      <c r="AE25" s="445"/>
      <c r="AF25" s="445"/>
      <c r="AG25" s="445"/>
      <c r="AH25" s="445"/>
      <c r="AI25" s="445"/>
      <c r="AJ25" s="445"/>
      <c r="AK25" s="445"/>
      <c r="AS25" s="1078">
        <v>14</v>
      </c>
    </row>
    <row r="26" spans="1:45" ht="14.65" customHeight="1">
      <c r="Q26" s="312"/>
      <c r="R26" s="312"/>
      <c r="S26" s="249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90"/>
      <c r="U26" s="2490"/>
      <c r="V26" s="2490"/>
      <c r="W26" s="2490"/>
      <c r="X26" s="2490"/>
      <c r="Y26" s="2490"/>
      <c r="Z26" s="2490"/>
      <c r="AA26" s="2490"/>
      <c r="AB26" s="2490"/>
      <c r="AC26" s="2490"/>
      <c r="AD26" s="2490"/>
      <c r="AE26" s="2490"/>
      <c r="AF26" s="2490"/>
      <c r="AG26" s="2490"/>
      <c r="AH26" s="2490"/>
      <c r="AI26" s="2490"/>
      <c r="AJ26" s="2490"/>
      <c r="AK26" s="1166"/>
      <c r="AS26" s="1078">
        <v>14</v>
      </c>
    </row>
    <row r="27" spans="1:45" ht="14.65" customHeight="1">
      <c r="Q27" s="312"/>
      <c r="R27" s="312"/>
      <c r="S27" s="2436" t="str">
        <f>IF(org=0,"Не определено",org)</f>
        <v>ПАО "ТГК-2"</v>
      </c>
      <c r="T27" s="2436"/>
      <c r="U27" s="2436"/>
      <c r="V27" s="2436"/>
      <c r="W27" s="2436"/>
      <c r="X27" s="2436"/>
      <c r="Y27" s="2436"/>
      <c r="Z27" s="2436"/>
      <c r="AA27" s="2436"/>
      <c r="AB27" s="2436"/>
      <c r="AC27" s="2436"/>
      <c r="AD27" s="2436"/>
      <c r="AE27" s="2436"/>
      <c r="AF27" s="2436"/>
      <c r="AG27" s="2436"/>
      <c r="AH27" s="2436"/>
      <c r="AI27" s="2436"/>
      <c r="AJ27" s="2436"/>
      <c r="AK27" s="1166"/>
      <c r="AS27" s="1078">
        <v>14</v>
      </c>
    </row>
    <row r="28" spans="1:45" ht="14.25" hidden="1" customHeight="1">
      <c r="Q28" s="312"/>
      <c r="R28" s="312"/>
      <c r="S28" s="1198"/>
      <c r="T28" s="299"/>
      <c r="U28" s="299"/>
      <c r="V28" s="259"/>
      <c r="W28" s="259"/>
      <c r="X28" s="259"/>
      <c r="Y28" s="259"/>
      <c r="Z28" s="259"/>
      <c r="AA28" s="259"/>
      <c r="AB28" s="259"/>
      <c r="AC28" s="259"/>
      <c r="AD28" s="259"/>
      <c r="AE28" s="259"/>
      <c r="AF28" s="259"/>
      <c r="AG28" s="259"/>
      <c r="AH28" s="259"/>
      <c r="AI28" s="259"/>
      <c r="AJ28" s="259"/>
      <c r="AK28" s="259"/>
      <c r="AL28" s="445"/>
      <c r="AS28" s="1078">
        <v>0</v>
      </c>
    </row>
    <row r="29" spans="1:45" s="1770" customFormat="1" ht="25.5" hidden="1" customHeight="1">
      <c r="A29" s="1291"/>
      <c r="B29" s="1291"/>
      <c r="C29" s="1291"/>
      <c r="D29" s="1291"/>
      <c r="E29" s="1291"/>
      <c r="F29" s="1291"/>
      <c r="G29" s="1291"/>
      <c r="H29" s="1291"/>
      <c r="I29" s="1291"/>
      <c r="J29" s="1291"/>
      <c r="K29" s="1291"/>
      <c r="L29" s="1292"/>
      <c r="M29" s="1291"/>
      <c r="N29" s="1291"/>
      <c r="O29" s="1291"/>
      <c r="S29" s="249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498"/>
      <c r="U29" s="1295"/>
      <c r="V29" s="2499" t="str">
        <f>IF(TITLE_NAME_OR_PR_CHANGE="",IF(TITLE_NAME_OR_PR="","",TITLE_NAME_OR_PR),TITLE_NAME_OR_PR_CHANGE)</f>
        <v/>
      </c>
      <c r="W29" s="2499"/>
      <c r="X29" s="2499"/>
      <c r="Y29" s="2499"/>
      <c r="Z29" s="2499"/>
      <c r="AA29" s="2499"/>
      <c r="AB29" s="2499"/>
      <c r="AC29" s="263"/>
      <c r="AD29" s="2499" t="str">
        <f>IF(TITLE_NAME_OR_PR_CHANGE="",IF(TITLE_NAME_OR_PR="","",TITLE_NAME_OR_PR),TITLE_NAME_OR_PR_CHANGE)</f>
        <v/>
      </c>
      <c r="AE29" s="2499"/>
      <c r="AF29" s="2499"/>
      <c r="AG29" s="2499"/>
      <c r="AH29" s="2499"/>
      <c r="AI29" s="2499"/>
      <c r="AJ29" s="2499"/>
      <c r="AK29" s="263"/>
      <c r="AL29" s="263"/>
      <c r="AM29" s="217"/>
      <c r="AN29" s="304"/>
      <c r="AO29" s="304"/>
      <c r="AP29" s="304"/>
      <c r="AQ29" s="304"/>
      <c r="AR29" s="304"/>
      <c r="AS29" s="354">
        <v>0</v>
      </c>
    </row>
    <row r="30" spans="1:45" s="1770" customFormat="1" ht="18.75" hidden="1" customHeight="1">
      <c r="A30" s="1291"/>
      <c r="B30" s="1291"/>
      <c r="C30" s="1291"/>
      <c r="D30" s="1291"/>
      <c r="E30" s="1291"/>
      <c r="F30" s="1291"/>
      <c r="G30" s="1291"/>
      <c r="H30" s="1291"/>
      <c r="I30" s="1291"/>
      <c r="J30" s="1291"/>
      <c r="K30" s="1291"/>
      <c r="L30" s="1292"/>
      <c r="M30" s="1291"/>
      <c r="N30" s="1291"/>
      <c r="O30" s="1291"/>
      <c r="S30" s="2498" t="str">
        <f>"Дата документа об "&amp;IF(TITLE_DATE_PR_CHANGE="","утверждении","изменении")&amp;" тарифов"</f>
        <v>Дата документа об утверждении тарифов</v>
      </c>
      <c r="T30" s="2498"/>
      <c r="U30" s="1295"/>
      <c r="V30" s="2508" t="str">
        <f>IF(TITLE_DATE_PR_CHANGE="",IF(TITLE_DATE_PR="","",TITLE_DATE_PR),TITLE_DATE_PR_CHANGE)</f>
        <v/>
      </c>
      <c r="W30" s="2508"/>
      <c r="X30" s="2508"/>
      <c r="Y30" s="2508"/>
      <c r="Z30" s="2508"/>
      <c r="AA30" s="2508"/>
      <c r="AB30" s="2508"/>
      <c r="AC30" s="263"/>
      <c r="AD30" s="2508" t="str">
        <f>IF(TITLE_DATE_PR_CHANGE="",IF(TITLE_DATE_PR="","",TITLE_DATE_PR),TITLE_DATE_PR_CHANGE)</f>
        <v/>
      </c>
      <c r="AE30" s="2508"/>
      <c r="AF30" s="2508"/>
      <c r="AG30" s="2508"/>
      <c r="AH30" s="2508"/>
      <c r="AI30" s="2508"/>
      <c r="AJ30" s="2508"/>
      <c r="AK30" s="263"/>
      <c r="AL30" s="263"/>
      <c r="AM30" s="217"/>
      <c r="AN30" s="304"/>
      <c r="AO30" s="304"/>
      <c r="AP30" s="304"/>
      <c r="AQ30" s="304"/>
      <c r="AR30" s="304"/>
      <c r="AS30" s="354">
        <v>0</v>
      </c>
    </row>
    <row r="31" spans="1:45" s="1770" customFormat="1" ht="18.75" hidden="1" customHeight="1">
      <c r="A31" s="1291"/>
      <c r="B31" s="1291"/>
      <c r="C31" s="1291"/>
      <c r="D31" s="1291"/>
      <c r="E31" s="1291"/>
      <c r="F31" s="1291"/>
      <c r="G31" s="1291"/>
      <c r="H31" s="1291"/>
      <c r="I31" s="1291"/>
      <c r="J31" s="1291"/>
      <c r="K31" s="1291"/>
      <c r="L31" s="1292"/>
      <c r="M31" s="1291"/>
      <c r="N31" s="1291"/>
      <c r="O31" s="1291"/>
      <c r="S31" s="2498" t="str">
        <f>"Номер документа об "&amp;IF(TITLE_DATE_PR_CHANGE="","утверждении","изменении")&amp;" тарифов"</f>
        <v>Номер документа об утверждении тарифов</v>
      </c>
      <c r="T31" s="2498"/>
      <c r="U31" s="1295"/>
      <c r="V31" s="2499" t="str">
        <f>IF(TITLE_NUMBER_PR_CHANGE="",IF(TITLE_NUMBER_PR="","",TITLE_NUMBER_PR),TITLE_NUMBER_PR_CHANGE)</f>
        <v/>
      </c>
      <c r="W31" s="2499"/>
      <c r="X31" s="2499"/>
      <c r="Y31" s="2499"/>
      <c r="Z31" s="2499"/>
      <c r="AA31" s="2499"/>
      <c r="AB31" s="2499"/>
      <c r="AC31" s="263"/>
      <c r="AD31" s="2499" t="str">
        <f>IF(TITLE_NUMBER_PR_CHANGE="",IF(TITLE_NUMBER_PR="","",TITLE_NUMBER_PR),TITLE_NUMBER_PR_CHANGE)</f>
        <v/>
      </c>
      <c r="AE31" s="2499"/>
      <c r="AF31" s="2499"/>
      <c r="AG31" s="2499"/>
      <c r="AH31" s="2499"/>
      <c r="AI31" s="2499"/>
      <c r="AJ31" s="2499"/>
      <c r="AK31" s="263"/>
      <c r="AL31" s="263"/>
      <c r="AM31" s="217"/>
      <c r="AN31" s="304"/>
      <c r="AO31" s="304"/>
      <c r="AP31" s="304"/>
      <c r="AQ31" s="304"/>
      <c r="AR31" s="304"/>
      <c r="AS31" s="354">
        <v>0</v>
      </c>
    </row>
    <row r="32" spans="1:45" s="1770" customFormat="1" ht="18.75" hidden="1" customHeight="1">
      <c r="A32" s="1291"/>
      <c r="B32" s="1291"/>
      <c r="C32" s="1291"/>
      <c r="D32" s="1291"/>
      <c r="E32" s="1291"/>
      <c r="F32" s="1291"/>
      <c r="G32" s="1291"/>
      <c r="H32" s="1291"/>
      <c r="I32" s="1291"/>
      <c r="J32" s="1291"/>
      <c r="K32" s="1291"/>
      <c r="L32" s="1292"/>
      <c r="M32" s="1291"/>
      <c r="N32" s="1291"/>
      <c r="O32" s="1291"/>
      <c r="S32" s="2498" t="s">
        <v>43</v>
      </c>
      <c r="T32" s="2498"/>
      <c r="U32" s="1295"/>
      <c r="V32" s="2499" t="str">
        <f>IF(TITLE_IST_PUB_CHANGE="",IF(TITLE_IST_PUB="","",TITLE_IST_PUB),TITLE_IST_PUB_CHANGE)</f>
        <v/>
      </c>
      <c r="W32" s="2499"/>
      <c r="X32" s="2499"/>
      <c r="Y32" s="2499"/>
      <c r="Z32" s="2499"/>
      <c r="AA32" s="2499"/>
      <c r="AB32" s="2499"/>
      <c r="AC32" s="263"/>
      <c r="AD32" s="2499" t="str">
        <f>IF(TITLE_IST_PUB_CHANGE="",IF(TITLE_IST_PUB="","",TITLE_IST_PUB),TITLE_IST_PUB_CHANGE)</f>
        <v/>
      </c>
      <c r="AE32" s="2499"/>
      <c r="AF32" s="2499"/>
      <c r="AG32" s="2499"/>
      <c r="AH32" s="2499"/>
      <c r="AI32" s="2499"/>
      <c r="AJ32" s="2499"/>
      <c r="AK32" s="263"/>
      <c r="AL32" s="263"/>
      <c r="AM32" s="217"/>
      <c r="AN32" s="304"/>
      <c r="AO32" s="304"/>
      <c r="AP32" s="304"/>
      <c r="AQ32" s="304"/>
      <c r="AR32" s="304"/>
      <c r="AS32" s="354">
        <v>0</v>
      </c>
    </row>
    <row r="33" spans="1:45" ht="14.25" hidden="1" customHeight="1">
      <c r="Q33" s="312"/>
      <c r="R33" s="312"/>
      <c r="S33" s="1198"/>
      <c r="T33" s="393"/>
      <c r="U33" s="299"/>
      <c r="V33" s="259"/>
      <c r="W33" s="259"/>
      <c r="X33" s="259"/>
      <c r="Y33" s="259"/>
      <c r="Z33" s="259"/>
      <c r="AA33" s="259"/>
      <c r="AB33" s="259"/>
      <c r="AC33" s="259"/>
      <c r="AD33" s="259"/>
      <c r="AE33" s="259"/>
      <c r="AF33" s="259"/>
      <c r="AG33" s="259"/>
      <c r="AH33" s="259"/>
      <c r="AI33" s="259"/>
      <c r="AJ33" s="259"/>
      <c r="AK33" s="259"/>
      <c r="AL33" s="445"/>
      <c r="AS33" s="1078">
        <v>0</v>
      </c>
    </row>
    <row r="34" spans="1:45" s="1770" customFormat="1" ht="18.75" hidden="1" customHeight="1">
      <c r="A34" s="1291"/>
      <c r="B34" s="1291"/>
      <c r="C34" s="1291"/>
      <c r="D34" s="1291"/>
      <c r="E34" s="1291"/>
      <c r="F34" s="1291"/>
      <c r="G34" s="1291"/>
      <c r="H34" s="1291"/>
      <c r="I34" s="1291"/>
      <c r="J34" s="1291"/>
      <c r="K34" s="1291"/>
      <c r="L34" s="1292"/>
      <c r="M34" s="1291"/>
      <c r="N34" s="1291"/>
      <c r="O34" s="1291"/>
      <c r="S34" s="2498" t="str">
        <f>"Дата подачи заявления об "&amp;IF(TITLE_DATE_PR_CHANGE="","утверждении","изменении")&amp;" тарифов"</f>
        <v>Дата подачи заявления об утверждении тарифов</v>
      </c>
      <c r="T34" s="2498"/>
      <c r="U34" s="1295"/>
      <c r="V34" s="2508" t="str">
        <f>IF(TITLE_DATE_PR_CHANGE="",IF(TITLE_DATE_PR="","",TITLE_DATE_PR),TITLE_DATE_PR_CHANGE)</f>
        <v/>
      </c>
      <c r="W34" s="2508"/>
      <c r="X34" s="2508"/>
      <c r="Y34" s="2508"/>
      <c r="Z34" s="2508"/>
      <c r="AA34" s="2508"/>
      <c r="AB34" s="2508"/>
      <c r="AC34" s="263"/>
      <c r="AD34" s="2508" t="str">
        <f>IF(TITLE_DATE_PR_CHANGE="",IF(TITLE_DATE_PR="","",TITLE_DATE_PR),TITLE_DATE_PR_CHANGE)</f>
        <v/>
      </c>
      <c r="AE34" s="2508"/>
      <c r="AF34" s="2508"/>
      <c r="AG34" s="2508"/>
      <c r="AH34" s="2508"/>
      <c r="AI34" s="2508"/>
      <c r="AJ34" s="2508"/>
      <c r="AK34" s="263"/>
      <c r="AL34" s="263"/>
      <c r="AM34" s="217"/>
      <c r="AN34" s="304"/>
      <c r="AO34" s="304"/>
      <c r="AP34" s="304"/>
      <c r="AQ34" s="304"/>
      <c r="AR34" s="304"/>
      <c r="AS34" s="354">
        <v>0</v>
      </c>
    </row>
    <row r="35" spans="1:45" s="1770" customFormat="1" ht="18.75" hidden="1" customHeight="1">
      <c r="A35" s="1291"/>
      <c r="B35" s="1291"/>
      <c r="C35" s="1291"/>
      <c r="D35" s="1291"/>
      <c r="E35" s="1291"/>
      <c r="F35" s="1291"/>
      <c r="G35" s="1291"/>
      <c r="H35" s="1291"/>
      <c r="I35" s="1291"/>
      <c r="J35" s="1291"/>
      <c r="K35" s="1291"/>
      <c r="L35" s="1292"/>
      <c r="M35" s="1291"/>
      <c r="N35" s="1291"/>
      <c r="O35" s="1291"/>
      <c r="S35" s="2498" t="str">
        <f>"Номер подачи заявления об "&amp;IF(TITLE_DATE_PR_CHANGE="","утверждении","изменении")&amp;" тарифов"</f>
        <v>Номер подачи заявления об утверждении тарифов</v>
      </c>
      <c r="T35" s="2498"/>
      <c r="U35" s="1295"/>
      <c r="V35" s="2499" t="str">
        <f>IF(TITLE_NUMBER_PR_CHANGE="",IF(TITLE_NUMBER_PR="","",TITLE_NUMBER_PR),TITLE_NUMBER_PR_CHANGE)</f>
        <v/>
      </c>
      <c r="W35" s="2499"/>
      <c r="X35" s="2499"/>
      <c r="Y35" s="2499"/>
      <c r="Z35" s="2499"/>
      <c r="AA35" s="2499"/>
      <c r="AB35" s="2499"/>
      <c r="AC35" s="263"/>
      <c r="AD35" s="2499" t="str">
        <f>IF(TITLE_NUMBER_PR_CHANGE="",IF(TITLE_NUMBER_PR="","",TITLE_NUMBER_PR),TITLE_NUMBER_PR_CHANGE)</f>
        <v/>
      </c>
      <c r="AE35" s="2499"/>
      <c r="AF35" s="2499"/>
      <c r="AG35" s="2499"/>
      <c r="AH35" s="2499"/>
      <c r="AI35" s="2499"/>
      <c r="AJ35" s="2499"/>
      <c r="AK35" s="263"/>
      <c r="AL35" s="263"/>
      <c r="AM35" s="217"/>
      <c r="AN35" s="304"/>
      <c r="AO35" s="304"/>
      <c r="AP35" s="304"/>
      <c r="AQ35" s="304"/>
      <c r="AR35" s="304"/>
      <c r="AS35" s="354">
        <v>0</v>
      </c>
    </row>
    <row r="36" spans="1:45" s="1770" customFormat="1" ht="0" hidden="1" customHeight="1">
      <c r="A36" s="1291"/>
      <c r="B36" s="1291"/>
      <c r="C36" s="1291"/>
      <c r="D36" s="1291"/>
      <c r="E36" s="1291"/>
      <c r="F36" s="1291"/>
      <c r="G36" s="1291"/>
      <c r="H36" s="1291"/>
      <c r="I36" s="1291"/>
      <c r="J36" s="1291"/>
      <c r="K36" s="1291"/>
      <c r="L36" s="1292"/>
      <c r="M36" s="1291"/>
      <c r="N36" s="1291"/>
      <c r="O36" s="1291"/>
      <c r="S36" s="260"/>
      <c r="T36" s="260"/>
      <c r="U36" s="1263"/>
      <c r="V36" s="263"/>
      <c r="W36" s="263"/>
      <c r="X36" s="263"/>
      <c r="Y36" s="263"/>
      <c r="Z36" s="263"/>
      <c r="AA36" s="263"/>
      <c r="AB36" s="263"/>
      <c r="AC36" s="215" t="s">
        <v>442</v>
      </c>
      <c r="AD36" s="263"/>
      <c r="AE36" s="263"/>
      <c r="AF36" s="263"/>
      <c r="AG36" s="263"/>
      <c r="AH36" s="263"/>
      <c r="AI36" s="263"/>
      <c r="AJ36" s="263"/>
      <c r="AK36" s="215" t="s">
        <v>442</v>
      </c>
      <c r="AN36" s="304"/>
      <c r="AO36" s="304"/>
      <c r="AP36" s="304"/>
      <c r="AQ36" s="304"/>
      <c r="AR36" s="304"/>
      <c r="AS36" s="354">
        <v>0</v>
      </c>
    </row>
    <row r="37" spans="1:45" ht="14.65" customHeight="1">
      <c r="Q37" s="312"/>
      <c r="R37" s="312"/>
      <c r="S37" s="1198"/>
      <c r="T37" s="299"/>
      <c r="U37" s="1167"/>
      <c r="V37" s="2500"/>
      <c r="W37" s="2500"/>
      <c r="X37" s="2500"/>
      <c r="Y37" s="2500"/>
      <c r="Z37" s="2500"/>
      <c r="AA37" s="2500"/>
      <c r="AB37" s="2500"/>
      <c r="AC37" s="2500"/>
      <c r="AD37" s="2500"/>
      <c r="AE37" s="2500"/>
      <c r="AF37" s="2500"/>
      <c r="AG37" s="2500"/>
      <c r="AH37" s="2500"/>
      <c r="AI37" s="2500"/>
      <c r="AJ37" s="2500"/>
      <c r="AK37" s="2500"/>
      <c r="AS37" s="1078">
        <v>14</v>
      </c>
    </row>
    <row r="38" spans="1:45" ht="14.65" customHeight="1">
      <c r="Q38" s="312"/>
      <c r="R38" s="312"/>
      <c r="S38" s="2371" t="s">
        <v>319</v>
      </c>
      <c r="T38" s="2371"/>
      <c r="U38" s="2371"/>
      <c r="V38" s="2371"/>
      <c r="W38" s="2371"/>
      <c r="X38" s="2371"/>
      <c r="Y38" s="2371"/>
      <c r="Z38" s="2371"/>
      <c r="AA38" s="2371"/>
      <c r="AB38" s="2371"/>
      <c r="AC38" s="2371"/>
      <c r="AD38" s="2371"/>
      <c r="AE38" s="2371"/>
      <c r="AF38" s="2371"/>
      <c r="AG38" s="2371"/>
      <c r="AH38" s="2371"/>
      <c r="AI38" s="2371"/>
      <c r="AJ38" s="2371"/>
      <c r="AK38" s="2371"/>
      <c r="AL38" s="2371"/>
      <c r="AM38" s="2371" t="s">
        <v>320</v>
      </c>
      <c r="AS38" s="1078">
        <v>14</v>
      </c>
    </row>
    <row r="39" spans="1:45" ht="14.65" customHeight="1">
      <c r="Q39" s="312"/>
      <c r="R39" s="312"/>
      <c r="S39" s="2514" t="s">
        <v>89</v>
      </c>
      <c r="T39" s="2466" t="s">
        <v>443</v>
      </c>
      <c r="U39" s="238"/>
      <c r="V39" s="2515" t="s">
        <v>444</v>
      </c>
      <c r="W39" s="2516"/>
      <c r="X39" s="2516"/>
      <c r="Y39" s="2516"/>
      <c r="Z39" s="2516"/>
      <c r="AA39" s="2516"/>
      <c r="AB39" s="2517"/>
      <c r="AC39" s="2518" t="s">
        <v>445</v>
      </c>
      <c r="AD39" s="2515" t="s">
        <v>444</v>
      </c>
      <c r="AE39" s="2516"/>
      <c r="AF39" s="2516"/>
      <c r="AG39" s="2516"/>
      <c r="AH39" s="2516"/>
      <c r="AI39" s="2516"/>
      <c r="AJ39" s="2517"/>
      <c r="AK39" s="2518" t="s">
        <v>446</v>
      </c>
      <c r="AL39" s="2521" t="s">
        <v>447</v>
      </c>
      <c r="AM39" s="2371"/>
      <c r="AS39" s="1078">
        <v>14</v>
      </c>
    </row>
    <row r="40" spans="1:45" ht="35.65" customHeight="1">
      <c r="Q40" s="312"/>
      <c r="R40" s="312"/>
      <c r="S40" s="2514"/>
      <c r="T40" s="2466"/>
      <c r="U40" s="958"/>
      <c r="V40" s="2435" t="s">
        <v>448</v>
      </c>
      <c r="W40" s="2524" t="s">
        <v>449</v>
      </c>
      <c r="X40" s="2350" t="s">
        <v>450</v>
      </c>
      <c r="Y40" s="2349"/>
      <c r="Z40" s="2350" t="s">
        <v>464</v>
      </c>
      <c r="AA40" s="2356"/>
      <c r="AB40" s="2349"/>
      <c r="AC40" s="2519"/>
      <c r="AD40" s="2435" t="s">
        <v>448</v>
      </c>
      <c r="AE40" s="2524" t="s">
        <v>449</v>
      </c>
      <c r="AF40" s="2350" t="s">
        <v>450</v>
      </c>
      <c r="AG40" s="2349"/>
      <c r="AH40" s="2350" t="s">
        <v>451</v>
      </c>
      <c r="AI40" s="2356"/>
      <c r="AJ40" s="2349"/>
      <c r="AK40" s="2519"/>
      <c r="AL40" s="2522"/>
      <c r="AM40" s="2371"/>
      <c r="AS40" s="1078">
        <v>34</v>
      </c>
    </row>
    <row r="41" spans="1:45" ht="35.65" customHeight="1">
      <c r="A41" s="1293"/>
      <c r="B41" s="1293" t="s">
        <v>156</v>
      </c>
      <c r="C41" s="1293" t="s">
        <v>157</v>
      </c>
      <c r="D41" s="1293" t="s">
        <v>158</v>
      </c>
      <c r="E41" s="1287" t="s">
        <v>452</v>
      </c>
      <c r="F41" s="1287" t="s">
        <v>453</v>
      </c>
      <c r="G41" s="1287" t="s">
        <v>454</v>
      </c>
      <c r="H41" s="1287" t="s">
        <v>455</v>
      </c>
      <c r="I41" s="1287" t="s">
        <v>456</v>
      </c>
      <c r="J41" s="1287" t="s">
        <v>457</v>
      </c>
      <c r="K41" s="1287" t="s">
        <v>458</v>
      </c>
      <c r="L41" s="1287" t="s">
        <v>437</v>
      </c>
      <c r="Q41" s="312"/>
      <c r="R41" s="312"/>
      <c r="S41" s="2514"/>
      <c r="T41" s="2466"/>
      <c r="U41" s="239"/>
      <c r="V41" s="2485"/>
      <c r="W41" s="2525"/>
      <c r="X41" s="1145" t="s">
        <v>459</v>
      </c>
      <c r="Y41" s="1145" t="s">
        <v>460</v>
      </c>
      <c r="Z41" s="1261" t="s">
        <v>461</v>
      </c>
      <c r="AA41" s="2474" t="s">
        <v>462</v>
      </c>
      <c r="AB41" s="2476"/>
      <c r="AC41" s="2520"/>
      <c r="AD41" s="2485"/>
      <c r="AE41" s="2525"/>
      <c r="AF41" s="1145" t="s">
        <v>459</v>
      </c>
      <c r="AG41" s="1145" t="s">
        <v>460</v>
      </c>
      <c r="AH41" s="1261" t="s">
        <v>461</v>
      </c>
      <c r="AI41" s="2474" t="s">
        <v>462</v>
      </c>
      <c r="AJ41" s="2476"/>
      <c r="AK41" s="2520"/>
      <c r="AL41" s="2523"/>
      <c r="AM41" s="2371"/>
      <c r="AS41" s="1078">
        <v>34</v>
      </c>
    </row>
    <row r="42" spans="1:45" s="1564" customFormat="1" ht="11.25" hidden="1" customHeight="1">
      <c r="A42" s="1293"/>
      <c r="B42" s="1293"/>
      <c r="C42" s="1293"/>
      <c r="D42" s="1293"/>
      <c r="E42" s="1293"/>
      <c r="F42" s="1293"/>
      <c r="G42" s="1293"/>
      <c r="H42" s="1293"/>
      <c r="I42" s="1293"/>
      <c r="J42" s="1293"/>
      <c r="K42" s="1293"/>
      <c r="L42" s="1287"/>
      <c r="M42" s="1285"/>
      <c r="N42" s="1285"/>
      <c r="O42" s="1285"/>
      <c r="P42" s="1169"/>
      <c r="Q42" s="1170"/>
      <c r="R42" s="1177">
        <v>1</v>
      </c>
      <c r="S42" s="1200" t="s">
        <v>100</v>
      </c>
      <c r="T42" s="1178" t="s">
        <v>103</v>
      </c>
      <c r="U42" s="1168" t="str">
        <f ca="1">OFFSET(U42,0,-1)</f>
        <v>2</v>
      </c>
      <c r="V42" s="1258">
        <f ca="1">OFFSET(V42,0,-1)+1</f>
        <v>3</v>
      </c>
      <c r="W42" s="1258"/>
      <c r="X42" s="1258">
        <f ca="1">OFFSET(X42,0,-1)+1</f>
        <v>1</v>
      </c>
      <c r="Y42" s="1258">
        <f ca="1">OFFSET(Y42,0,-1)+1</f>
        <v>2</v>
      </c>
      <c r="Z42" s="1258">
        <f ca="1">OFFSET(Z42,0,-1)+1</f>
        <v>3</v>
      </c>
      <c r="AA42" s="2513">
        <f ca="1">OFFSET(AA42,0,-1)+1</f>
        <v>4</v>
      </c>
      <c r="AB42" s="2513"/>
      <c r="AC42" s="1258">
        <f ca="1">OFFSET(AC42,0,-2)+1</f>
        <v>5</v>
      </c>
      <c r="AD42" s="1258">
        <f ca="1">OFFSET(AD42,0,-1)+1</f>
        <v>6</v>
      </c>
      <c r="AE42" s="1258"/>
      <c r="AF42" s="1258">
        <f ca="1">OFFSET(AF42,0,-1)+1</f>
        <v>1</v>
      </c>
      <c r="AG42" s="1258">
        <f ca="1">OFFSET(AG42,0,-1)+1</f>
        <v>2</v>
      </c>
      <c r="AH42" s="1258">
        <f ca="1">OFFSET(AH42,0,-1)+1</f>
        <v>3</v>
      </c>
      <c r="AI42" s="2513">
        <f ca="1">OFFSET(AI42,0,-1)+1</f>
        <v>4</v>
      </c>
      <c r="AJ42" s="2513"/>
      <c r="AK42" s="1258">
        <f ca="1">OFFSET(AK42,0,-2)+1</f>
        <v>5</v>
      </c>
      <c r="AL42" s="1168">
        <f ca="1">OFFSET(AL42,0,-1)</f>
        <v>5</v>
      </c>
      <c r="AM42" s="1258">
        <f ca="1">OFFSET(AM42,0,-1)+1</f>
        <v>6</v>
      </c>
      <c r="AN42" s="447"/>
      <c r="AO42" s="447"/>
      <c r="AP42" s="447"/>
      <c r="AQ42" s="447"/>
      <c r="AR42" s="447"/>
      <c r="AS42" s="432">
        <v>0</v>
      </c>
    </row>
    <row r="43" spans="1:45" ht="21.95" customHeight="1">
      <c r="A43" s="1286" t="s">
        <v>182</v>
      </c>
      <c r="B43" s="1286"/>
      <c r="C43" s="1286"/>
      <c r="D43" s="1286"/>
      <c r="E43" s="2506">
        <v>1</v>
      </c>
      <c r="F43" s="1286"/>
      <c r="G43" s="1286"/>
      <c r="H43" s="1286"/>
      <c r="I43" s="1286"/>
      <c r="J43" s="1286"/>
      <c r="K43" s="1286"/>
      <c r="L43" s="1287"/>
      <c r="M43" s="1288"/>
      <c r="N43" s="1288"/>
      <c r="O43" s="1288"/>
      <c r="P43" s="297"/>
      <c r="Q43" s="296"/>
      <c r="R43" s="291"/>
      <c r="S43" s="1259">
        <f>INDEX(PT_DIFFERENTIATION_NUM_NTAR,MATCH(A43,PT_DIFFERENTIATION_NTAR_ID,0))</f>
        <v>0</v>
      </c>
      <c r="T43" s="235" t="s">
        <v>144</v>
      </c>
      <c r="U43" s="237"/>
      <c r="V43" s="2492"/>
      <c r="W43" s="2493"/>
      <c r="X43" s="2493"/>
      <c r="Y43" s="2493"/>
      <c r="Z43" s="2493"/>
      <c r="AA43" s="2493"/>
      <c r="AB43" s="2493"/>
      <c r="AC43" s="2494"/>
      <c r="AD43" s="2492" t="str">
        <f>INDEX(PT_DIFFERENTIATION_NTAR,MATCH(A43,PT_DIFFERENTIATION_NTAR_ID,0))</f>
        <v/>
      </c>
      <c r="AE43" s="2493"/>
      <c r="AF43" s="2493"/>
      <c r="AG43" s="2493"/>
      <c r="AH43" s="2493"/>
      <c r="AI43" s="2493"/>
      <c r="AJ43" s="2493"/>
      <c r="AK43" s="2493"/>
      <c r="AL43" s="2494"/>
      <c r="AM43" s="118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8">
        <v>21</v>
      </c>
    </row>
    <row r="44" spans="1:45" ht="21.95" customHeight="1">
      <c r="A44" s="1286" t="s">
        <v>182</v>
      </c>
      <c r="B44" s="1286" t="s">
        <v>183</v>
      </c>
      <c r="C44" s="1286"/>
      <c r="D44" s="1286"/>
      <c r="E44" s="2507"/>
      <c r="F44" s="2506">
        <v>1</v>
      </c>
      <c r="G44" s="1286"/>
      <c r="H44" s="1286"/>
      <c r="I44" s="1286"/>
      <c r="J44" s="1286"/>
      <c r="K44" s="1286"/>
      <c r="L44" s="1287"/>
      <c r="M44" s="1288"/>
      <c r="N44" s="1288"/>
      <c r="O44" s="1288"/>
      <c r="P44" s="1255"/>
      <c r="Q44" s="288"/>
      <c r="R44" s="289"/>
      <c r="S44" s="1259" t="str">
        <f>INDEX(PT_DIFFERENTIATION_NUM_TER,MATCH(B44,PT_DIFFERENTIATION_TER_ID,0))</f>
        <v>.</v>
      </c>
      <c r="T44" s="245" t="s">
        <v>416</v>
      </c>
      <c r="U44" s="237"/>
      <c r="V44" s="2492"/>
      <c r="W44" s="2493"/>
      <c r="X44" s="2493"/>
      <c r="Y44" s="2493"/>
      <c r="Z44" s="2493"/>
      <c r="AA44" s="2493"/>
      <c r="AB44" s="2493"/>
      <c r="AC44" s="2494"/>
      <c r="AD44" s="2492" t="str">
        <f>INDEX(PT_DIFFERENTIATION_TER,MATCH(B44,PT_DIFFERENTIATION_TER_ID,0))</f>
        <v/>
      </c>
      <c r="AE44" s="2493"/>
      <c r="AF44" s="2493"/>
      <c r="AG44" s="2493"/>
      <c r="AH44" s="2493"/>
      <c r="AI44" s="2493"/>
      <c r="AJ44" s="2493"/>
      <c r="AK44" s="2493"/>
      <c r="AL44" s="2494"/>
      <c r="AM44" s="1181" t="s">
        <v>417</v>
      </c>
      <c r="AO44" s="436"/>
      <c r="AP44" s="436" t="str">
        <f t="shared" si="1"/>
        <v>Территория действия тарифа</v>
      </c>
      <c r="AQ44" s="436"/>
      <c r="AR44" s="436"/>
      <c r="AS44" s="1078">
        <v>21</v>
      </c>
    </row>
    <row r="45" spans="1:45" ht="24" customHeight="1">
      <c r="A45" s="1286" t="s">
        <v>182</v>
      </c>
      <c r="B45" s="1286" t="s">
        <v>183</v>
      </c>
      <c r="C45" s="1286" t="s">
        <v>184</v>
      </c>
      <c r="D45" s="1286"/>
      <c r="E45" s="2507"/>
      <c r="F45" s="2507"/>
      <c r="G45" s="2506">
        <v>1</v>
      </c>
      <c r="H45" s="1286"/>
      <c r="I45" s="1286"/>
      <c r="J45" s="1286"/>
      <c r="K45" s="1286"/>
      <c r="L45" s="1287"/>
      <c r="M45" s="1288"/>
      <c r="N45" s="1288"/>
      <c r="O45" s="1288"/>
      <c r="P45" s="290"/>
      <c r="Q45" s="288"/>
      <c r="R45" s="289"/>
      <c r="S45" s="1259" t="str">
        <f>INDEX(PT_DIFFERENTIATION_NUM_CS,MATCH(C45,PT_DIFFERENTIATION_CS_ID,0))</f>
        <v>..</v>
      </c>
      <c r="T45" s="246" t="s">
        <v>418</v>
      </c>
      <c r="U45" s="237"/>
      <c r="V45" s="2492"/>
      <c r="W45" s="2493"/>
      <c r="X45" s="2493"/>
      <c r="Y45" s="2493"/>
      <c r="Z45" s="2493"/>
      <c r="AA45" s="2493"/>
      <c r="AB45" s="2493"/>
      <c r="AC45" s="2494"/>
      <c r="AD45" s="2492" t="str">
        <f>INDEX(PT_DIFFERENTIATION_CS,MATCH(C45,PT_DIFFERENTIATION_CS_ID,0))</f>
        <v/>
      </c>
      <c r="AE45" s="2493"/>
      <c r="AF45" s="2493"/>
      <c r="AG45" s="2493"/>
      <c r="AH45" s="2493"/>
      <c r="AI45" s="2493"/>
      <c r="AJ45" s="2493"/>
      <c r="AK45" s="2493"/>
      <c r="AL45" s="2494"/>
      <c r="AM45" s="1181" t="s">
        <v>419</v>
      </c>
      <c r="AO45" s="436"/>
      <c r="AP45" s="436" t="str">
        <f t="shared" si="1"/>
        <v xml:space="preserve">Наименование системы теплоснабжения </v>
      </c>
      <c r="AQ45" s="436"/>
      <c r="AR45" s="436"/>
      <c r="AS45" s="1078">
        <v>23</v>
      </c>
    </row>
    <row r="46" spans="1:45" ht="21.95" customHeight="1">
      <c r="A46" s="1286" t="s">
        <v>182</v>
      </c>
      <c r="B46" s="1286" t="s">
        <v>183</v>
      </c>
      <c r="C46" s="1286" t="s">
        <v>184</v>
      </c>
      <c r="D46" s="1286" t="s">
        <v>185</v>
      </c>
      <c r="E46" s="2507"/>
      <c r="F46" s="2507"/>
      <c r="G46" s="2507"/>
      <c r="H46" s="2506">
        <v>1</v>
      </c>
      <c r="I46" s="1286"/>
      <c r="J46" s="1286"/>
      <c r="K46" s="1286"/>
      <c r="L46" s="1287"/>
      <c r="M46" s="1288"/>
      <c r="N46" s="1288"/>
      <c r="O46" s="1288"/>
      <c r="P46" s="290"/>
      <c r="Q46" s="288"/>
      <c r="R46" s="289"/>
      <c r="S46" s="1259" t="str">
        <f>INDEX(PT_DIFFERENTIATION_NUM_IST_TE,MATCH(D46,PT_DIFFERENTIATION_IST_TE_ID,0))</f>
        <v>...</v>
      </c>
      <c r="T46" s="247" t="s">
        <v>420</v>
      </c>
      <c r="U46" s="237"/>
      <c r="V46" s="2492"/>
      <c r="W46" s="2493"/>
      <c r="X46" s="2493"/>
      <c r="Y46" s="2493"/>
      <c r="Z46" s="2493"/>
      <c r="AA46" s="2493"/>
      <c r="AB46" s="2493"/>
      <c r="AC46" s="2494"/>
      <c r="AD46" s="2492" t="str">
        <f>INDEX(PT_DIFFERENTIATION_IST_TE,MATCH(D46,PT_DIFFERENTIATION_IST_TE_ID,0))</f>
        <v/>
      </c>
      <c r="AE46" s="2493"/>
      <c r="AF46" s="2493"/>
      <c r="AG46" s="2493"/>
      <c r="AH46" s="2493"/>
      <c r="AI46" s="2493"/>
      <c r="AJ46" s="2493"/>
      <c r="AK46" s="2493"/>
      <c r="AL46" s="2494"/>
      <c r="AM46" s="1181" t="s">
        <v>421</v>
      </c>
      <c r="AO46" s="436"/>
      <c r="AP46" s="436" t="str">
        <f t="shared" si="1"/>
        <v xml:space="preserve">Источник тепловой энергии  </v>
      </c>
      <c r="AQ46" s="436"/>
      <c r="AR46" s="436"/>
      <c r="AS46" s="1078">
        <v>21</v>
      </c>
    </row>
    <row r="47" spans="1:45" ht="49.5" customHeight="1">
      <c r="A47" s="1286" t="s">
        <v>182</v>
      </c>
      <c r="B47" s="1286" t="s">
        <v>183</v>
      </c>
      <c r="C47" s="1286" t="s">
        <v>184</v>
      </c>
      <c r="D47" s="1286" t="s">
        <v>185</v>
      </c>
      <c r="E47" s="2507"/>
      <c r="F47" s="2507"/>
      <c r="G47" s="2507"/>
      <c r="H47" s="2507"/>
      <c r="I47" s="2504" t="str">
        <f>S46&amp;".1"</f>
        <v>....1</v>
      </c>
      <c r="J47" s="1286"/>
      <c r="K47" s="1286"/>
      <c r="L47" s="1287" t="s">
        <v>422</v>
      </c>
      <c r="P47" s="2505">
        <v>1</v>
      </c>
      <c r="Q47" s="1254"/>
      <c r="R47" s="292"/>
      <c r="S47" s="1259" t="str">
        <f>$I47</f>
        <v>....1</v>
      </c>
      <c r="T47" s="222" t="s">
        <v>423</v>
      </c>
      <c r="U47" s="237"/>
      <c r="V47" s="2495"/>
      <c r="W47" s="2496"/>
      <c r="X47" s="2496"/>
      <c r="Y47" s="2496"/>
      <c r="Z47" s="2496"/>
      <c r="AA47" s="2496"/>
      <c r="AB47" s="2496"/>
      <c r="AC47" s="2497"/>
      <c r="AD47" s="2495"/>
      <c r="AE47" s="2496"/>
      <c r="AF47" s="2496"/>
      <c r="AG47" s="2496"/>
      <c r="AH47" s="2496"/>
      <c r="AI47" s="2496"/>
      <c r="AJ47" s="2496"/>
      <c r="AK47" s="2496"/>
      <c r="AL47" s="2497"/>
      <c r="AM47" s="1181" t="s">
        <v>424</v>
      </c>
      <c r="AO47" s="436"/>
      <c r="AP47" s="436" t="str">
        <f t="shared" si="1"/>
        <v>Схема подключения теплопотребляющей установки к коллектору источника тепловой энергии</v>
      </c>
      <c r="AQ47" s="436"/>
      <c r="AR47" s="436"/>
      <c r="AS47" s="1078">
        <v>47</v>
      </c>
    </row>
    <row r="48" spans="1:45" ht="21.95" customHeight="1">
      <c r="A48" s="1286" t="s">
        <v>182</v>
      </c>
      <c r="B48" s="1286" t="s">
        <v>183</v>
      </c>
      <c r="C48" s="1286" t="s">
        <v>184</v>
      </c>
      <c r="D48" s="1286" t="s">
        <v>185</v>
      </c>
      <c r="E48" s="2507"/>
      <c r="F48" s="2507"/>
      <c r="G48" s="2507"/>
      <c r="H48" s="2507"/>
      <c r="I48" s="2527"/>
      <c r="J48" s="2504" t="str">
        <f>I47&amp;".1"</f>
        <v>....1.1</v>
      </c>
      <c r="K48" s="1286"/>
      <c r="L48" s="1287" t="s">
        <v>425</v>
      </c>
      <c r="P48" s="2505"/>
      <c r="Q48" s="2505">
        <v>1</v>
      </c>
      <c r="R48" s="293"/>
      <c r="S48" s="1259" t="str">
        <f>$J48</f>
        <v>....1.1</v>
      </c>
      <c r="T48" s="223" t="s">
        <v>426</v>
      </c>
      <c r="U48" s="237"/>
      <c r="V48" s="2495"/>
      <c r="W48" s="2496"/>
      <c r="X48" s="2496"/>
      <c r="Y48" s="2496"/>
      <c r="Z48" s="2496"/>
      <c r="AA48" s="2496"/>
      <c r="AB48" s="2496"/>
      <c r="AC48" s="2497"/>
      <c r="AD48" s="2495"/>
      <c r="AE48" s="2496"/>
      <c r="AF48" s="2496"/>
      <c r="AG48" s="2496"/>
      <c r="AH48" s="2496"/>
      <c r="AI48" s="2496"/>
      <c r="AJ48" s="2496"/>
      <c r="AK48" s="2496"/>
      <c r="AL48" s="2497"/>
      <c r="AM48" s="1181" t="s">
        <v>427</v>
      </c>
      <c r="AO48" s="436"/>
      <c r="AP48" s="436" t="str">
        <f t="shared" si="1"/>
        <v>Группа потребителей</v>
      </c>
      <c r="AQ48" s="436"/>
      <c r="AR48" s="436"/>
      <c r="AS48" s="1078">
        <v>21</v>
      </c>
    </row>
    <row r="49" spans="1:45" ht="21.95" customHeight="1">
      <c r="A49" s="1286" t="s">
        <v>182</v>
      </c>
      <c r="B49" s="1286" t="s">
        <v>183</v>
      </c>
      <c r="C49" s="1286" t="s">
        <v>184</v>
      </c>
      <c r="D49" s="1286" t="s">
        <v>185</v>
      </c>
      <c r="E49" s="2507"/>
      <c r="F49" s="2507"/>
      <c r="G49" s="2507"/>
      <c r="H49" s="2507"/>
      <c r="I49" s="2527"/>
      <c r="J49" s="2527"/>
      <c r="K49" s="2504" t="str">
        <f>J48&amp;".1"</f>
        <v>....1.1.1</v>
      </c>
      <c r="L49" s="1287" t="s">
        <v>428</v>
      </c>
      <c r="P49" s="2505"/>
      <c r="Q49" s="2505"/>
      <c r="R49" s="293">
        <v>1</v>
      </c>
      <c r="S49" s="1259" t="str">
        <f>$K49</f>
        <v>....1.1.1</v>
      </c>
      <c r="T49" s="1270"/>
      <c r="U49" s="237"/>
      <c r="V49" s="686"/>
      <c r="W49" s="262"/>
      <c r="X49" s="686"/>
      <c r="Y49" s="1180"/>
      <c r="Z49" s="2509"/>
      <c r="AA49" s="2360" t="s">
        <v>63</v>
      </c>
      <c r="AB49" s="2509"/>
      <c r="AC49" s="2360" t="s">
        <v>63</v>
      </c>
      <c r="AD49" s="686"/>
      <c r="AE49" s="262"/>
      <c r="AF49" s="686"/>
      <c r="AG49" s="1180"/>
      <c r="AH49" s="2509"/>
      <c r="AI49" s="2360" t="s">
        <v>63</v>
      </c>
      <c r="AJ49" s="2528"/>
      <c r="AK49" s="2360" t="s">
        <v>63</v>
      </c>
      <c r="AL49" s="1271"/>
      <c r="AM49" s="2501" t="s">
        <v>429</v>
      </c>
      <c r="AN49" s="447" t="e">
        <f ca="1">STRCHECKDATE(V50:AL50)</f>
        <v>#NAME?</v>
      </c>
      <c r="AO49" s="436"/>
      <c r="AP49" s="436" t="str">
        <f t="shared" si="1"/>
        <v/>
      </c>
      <c r="AQ49" s="436"/>
      <c r="AR49" s="436"/>
      <c r="AS49" s="1078">
        <v>21</v>
      </c>
    </row>
    <row r="50" spans="1:45" ht="1.1499999999999999" customHeight="1">
      <c r="A50" s="1286" t="s">
        <v>182</v>
      </c>
      <c r="B50" s="1286" t="s">
        <v>183</v>
      </c>
      <c r="C50" s="1286" t="s">
        <v>184</v>
      </c>
      <c r="D50" s="1286" t="s">
        <v>185</v>
      </c>
      <c r="E50" s="2507"/>
      <c r="F50" s="2507"/>
      <c r="G50" s="2507"/>
      <c r="H50" s="2507"/>
      <c r="I50" s="2527"/>
      <c r="J50" s="2527"/>
      <c r="K50" s="2504"/>
      <c r="L50" s="1287"/>
      <c r="P50" s="2505"/>
      <c r="Q50" s="2505"/>
      <c r="R50" s="293"/>
      <c r="S50" s="1265"/>
      <c r="T50" s="237"/>
      <c r="U50" s="237"/>
      <c r="V50" s="262"/>
      <c r="W50" s="262"/>
      <c r="X50" s="262"/>
      <c r="Y50" s="265" t="str">
        <f>Z49&amp;"-"&amp;AB49</f>
        <v>-</v>
      </c>
      <c r="Z50" s="2510"/>
      <c r="AA50" s="2360"/>
      <c r="AB50" s="2510"/>
      <c r="AC50" s="2360"/>
      <c r="AD50" s="262"/>
      <c r="AE50" s="262"/>
      <c r="AF50" s="262"/>
      <c r="AG50" s="265" t="str">
        <f>AH49&amp;"-"&amp;AJ49</f>
        <v>-</v>
      </c>
      <c r="AH50" s="2510"/>
      <c r="AI50" s="2360"/>
      <c r="AJ50" s="2529"/>
      <c r="AK50" s="2360"/>
      <c r="AL50" s="1272"/>
      <c r="AM50" s="2502"/>
      <c r="AO50" s="436"/>
      <c r="AP50" s="436" t="str">
        <f t="shared" si="1"/>
        <v/>
      </c>
      <c r="AQ50" s="436"/>
      <c r="AR50" s="436"/>
      <c r="AS50" s="1078">
        <v>1</v>
      </c>
    </row>
    <row r="51" spans="1:45" ht="11.45" customHeight="1">
      <c r="A51" s="1286" t="s">
        <v>182</v>
      </c>
      <c r="B51" s="1286" t="s">
        <v>183</v>
      </c>
      <c r="C51" s="1286" t="s">
        <v>184</v>
      </c>
      <c r="D51" s="1286" t="s">
        <v>185</v>
      </c>
      <c r="E51" s="2507"/>
      <c r="F51" s="2507"/>
      <c r="G51" s="2507"/>
      <c r="H51" s="2507"/>
      <c r="I51" s="2527"/>
      <c r="J51" s="2504"/>
      <c r="K51" s="1286"/>
      <c r="L51" s="1287"/>
      <c r="P51" s="2505"/>
      <c r="Q51" s="2505"/>
      <c r="R51" s="292"/>
      <c r="S51" s="1201"/>
      <c r="T51" s="225" t="s">
        <v>430</v>
      </c>
      <c r="U51" s="303"/>
      <c r="V51" s="303"/>
      <c r="W51" s="303"/>
      <c r="X51" s="303"/>
      <c r="Y51" s="303"/>
      <c r="Z51" s="303"/>
      <c r="AA51" s="303"/>
      <c r="AB51" s="303"/>
      <c r="AC51" s="303"/>
      <c r="AD51" s="303"/>
      <c r="AE51" s="303"/>
      <c r="AF51" s="303"/>
      <c r="AG51" s="303"/>
      <c r="AH51" s="303"/>
      <c r="AI51" s="303"/>
      <c r="AJ51" s="303"/>
      <c r="AK51" s="303"/>
      <c r="AL51" s="261"/>
      <c r="AM51" s="2503"/>
      <c r="AO51" s="436"/>
      <c r="AP51" s="436" t="str">
        <f t="shared" si="1"/>
        <v>Добавить вид теплоносителя (параметры теплоносителя)</v>
      </c>
      <c r="AQ51" s="436"/>
      <c r="AR51" s="436"/>
      <c r="AS51" s="1078">
        <v>11</v>
      </c>
    </row>
    <row r="52" spans="1:45" ht="11.45" customHeight="1">
      <c r="A52" s="1286" t="s">
        <v>182</v>
      </c>
      <c r="B52" s="1286" t="s">
        <v>183</v>
      </c>
      <c r="C52" s="1286" t="s">
        <v>184</v>
      </c>
      <c r="D52" s="1286" t="s">
        <v>185</v>
      </c>
      <c r="E52" s="2507"/>
      <c r="F52" s="2507"/>
      <c r="G52" s="2507"/>
      <c r="H52" s="2507"/>
      <c r="I52" s="2504"/>
      <c r="J52" s="1286"/>
      <c r="K52" s="1286"/>
      <c r="L52" s="1287"/>
      <c r="P52" s="2505"/>
      <c r="Q52" s="1254"/>
      <c r="R52" s="292"/>
      <c r="S52" s="1201"/>
      <c r="T52" s="224" t="s">
        <v>431</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8">
        <v>11</v>
      </c>
    </row>
    <row r="53" spans="1:45" ht="14.65" customHeight="1">
      <c r="A53" s="1286" t="s">
        <v>182</v>
      </c>
      <c r="B53" s="1286" t="s">
        <v>183</v>
      </c>
      <c r="C53" s="1286" t="s">
        <v>184</v>
      </c>
      <c r="D53" s="1286" t="s">
        <v>185</v>
      </c>
      <c r="E53" s="2507"/>
      <c r="F53" s="2507"/>
      <c r="G53" s="2507"/>
      <c r="H53" s="2506"/>
      <c r="I53" s="1286"/>
      <c r="J53" s="1286"/>
      <c r="K53" s="1286"/>
      <c r="L53" s="1287"/>
      <c r="M53" s="1288"/>
      <c r="N53" s="1288"/>
      <c r="O53" s="473"/>
      <c r="P53" s="296"/>
      <c r="Q53" s="311"/>
      <c r="R53" s="291"/>
      <c r="S53" s="1201"/>
      <c r="T53" s="301" t="s">
        <v>432</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78">
        <v>14</v>
      </c>
    </row>
    <row r="54" spans="1:45" s="1565" customFormat="1" ht="1.1499999999999999" customHeight="1">
      <c r="A54" s="1266" t="s">
        <v>182</v>
      </c>
      <c r="B54" s="1266" t="s">
        <v>183</v>
      </c>
      <c r="C54" s="1266" t="s">
        <v>184</v>
      </c>
      <c r="D54" s="1237"/>
      <c r="E54" s="2507"/>
      <c r="F54" s="2507"/>
      <c r="G54" s="2506"/>
      <c r="H54" s="1237"/>
      <c r="I54" s="1237"/>
      <c r="J54" s="1237"/>
      <c r="K54" s="1237"/>
      <c r="L54" s="1262"/>
      <c r="M54" s="1238"/>
      <c r="N54" s="1238"/>
      <c r="P54" s="1239"/>
      <c r="Q54" s="1240"/>
      <c r="R54" s="1239"/>
      <c r="S54" s="1245"/>
      <c r="T54" s="1248" t="s">
        <v>433</v>
      </c>
      <c r="U54" s="1247"/>
      <c r="V54" s="1247"/>
      <c r="W54" s="1247"/>
      <c r="X54" s="1247"/>
      <c r="Y54" s="1247"/>
      <c r="Z54" s="1247"/>
      <c r="AA54" s="1247"/>
      <c r="AB54" s="1247"/>
      <c r="AC54" s="1247"/>
      <c r="AD54" s="1247"/>
      <c r="AE54" s="1247"/>
      <c r="AF54" s="1247"/>
      <c r="AG54" s="1247"/>
      <c r="AH54" s="1247"/>
      <c r="AI54" s="1247"/>
      <c r="AJ54" s="1247"/>
      <c r="AK54" s="1247"/>
      <c r="AL54" s="1247"/>
      <c r="AM54" s="1247"/>
      <c r="AO54" s="718"/>
      <c r="AP54" s="718" t="str">
        <f t="shared" si="1"/>
        <v>Добавить источник для дифференциации</v>
      </c>
      <c r="AQ54" s="718"/>
      <c r="AR54" s="718"/>
      <c r="AS54" s="454">
        <v>1</v>
      </c>
    </row>
    <row r="55" spans="1:45" s="1565" customFormat="1" ht="1.1499999999999999" customHeight="1">
      <c r="A55" s="1266" t="s">
        <v>182</v>
      </c>
      <c r="B55" s="1266" t="s">
        <v>183</v>
      </c>
      <c r="C55" s="1237"/>
      <c r="D55" s="1237"/>
      <c r="E55" s="2507"/>
      <c r="F55" s="2506"/>
      <c r="G55" s="1237"/>
      <c r="H55" s="1237"/>
      <c r="I55" s="1237"/>
      <c r="J55" s="1237"/>
      <c r="K55" s="1237"/>
      <c r="L55" s="1262"/>
      <c r="M55" s="1244"/>
      <c r="N55" s="1244"/>
      <c r="P55" s="1239"/>
      <c r="Q55" s="1240"/>
      <c r="R55" s="1239"/>
      <c r="S55" s="1245"/>
      <c r="T55" s="1248" t="s">
        <v>434</v>
      </c>
      <c r="U55" s="1247"/>
      <c r="V55" s="1247"/>
      <c r="W55" s="1247"/>
      <c r="X55" s="1247"/>
      <c r="Y55" s="1247"/>
      <c r="Z55" s="1247"/>
      <c r="AA55" s="1247"/>
      <c r="AB55" s="1247"/>
      <c r="AC55" s="1247"/>
      <c r="AD55" s="1247"/>
      <c r="AE55" s="1247"/>
      <c r="AF55" s="1247"/>
      <c r="AG55" s="1247"/>
      <c r="AH55" s="1247"/>
      <c r="AI55" s="1247"/>
      <c r="AJ55" s="1247"/>
      <c r="AK55" s="1247"/>
      <c r="AL55" s="1247"/>
      <c r="AM55" s="1247"/>
      <c r="AO55" s="718"/>
      <c r="AP55" s="718" t="str">
        <f t="shared" si="1"/>
        <v>Добавить централизованную систему для дифференциации</v>
      </c>
      <c r="AQ55" s="718"/>
      <c r="AR55" s="718"/>
      <c r="AS55" s="454">
        <v>1</v>
      </c>
    </row>
    <row r="56" spans="1:45" s="1565" customFormat="1" ht="1.1499999999999999" customHeight="1">
      <c r="A56" s="1266" t="s">
        <v>182</v>
      </c>
      <c r="B56" s="1266"/>
      <c r="C56" s="1266"/>
      <c r="D56" s="1266"/>
      <c r="E56" s="2506"/>
      <c r="F56" s="1266"/>
      <c r="G56" s="1266"/>
      <c r="H56" s="1266"/>
      <c r="I56" s="1266"/>
      <c r="J56" s="1266"/>
      <c r="K56" s="1266"/>
      <c r="L56" s="1269"/>
      <c r="M56" s="1244"/>
      <c r="N56" s="1244"/>
      <c r="O56" s="454"/>
      <c r="P56" s="316"/>
      <c r="Q56" s="1267"/>
      <c r="R56" s="316"/>
      <c r="S56" s="1245"/>
      <c r="T56" s="1248" t="s">
        <v>435</v>
      </c>
      <c r="U56" s="1247"/>
      <c r="V56" s="1247"/>
      <c r="W56" s="1247"/>
      <c r="X56" s="1247"/>
      <c r="Y56" s="1247"/>
      <c r="Z56" s="1247"/>
      <c r="AA56" s="1247"/>
      <c r="AB56" s="1247"/>
      <c r="AC56" s="1247"/>
      <c r="AD56" s="1247"/>
      <c r="AE56" s="1247"/>
      <c r="AF56" s="1247"/>
      <c r="AG56" s="1247"/>
      <c r="AH56" s="1247"/>
      <c r="AI56" s="1247"/>
      <c r="AJ56" s="1247"/>
      <c r="AK56" s="1247"/>
      <c r="AL56" s="1247"/>
      <c r="AM56" s="1247"/>
      <c r="AO56" s="436"/>
      <c r="AP56" s="436" t="str">
        <f t="shared" si="1"/>
        <v>Добавить территорию для дифференциации</v>
      </c>
      <c r="AQ56" s="436"/>
      <c r="AR56" s="436"/>
      <c r="AS56" s="447">
        <v>1</v>
      </c>
    </row>
    <row r="57" spans="1:45" s="1565" customFormat="1" ht="1.1499999999999999" customHeight="1">
      <c r="A57" s="1237"/>
      <c r="B57" s="1237"/>
      <c r="C57" s="1237"/>
      <c r="D57" s="1237"/>
      <c r="E57" s="1266"/>
      <c r="F57" s="1237"/>
      <c r="G57" s="1237"/>
      <c r="H57" s="1237"/>
      <c r="I57" s="1237"/>
      <c r="J57" s="1237"/>
      <c r="K57" s="1237"/>
      <c r="L57" s="1262"/>
      <c r="M57" s="1244"/>
      <c r="N57" s="1244"/>
      <c r="P57" s="1239"/>
      <c r="Q57" s="1240"/>
      <c r="R57" s="1239"/>
      <c r="S57" s="1245"/>
      <c r="T57" s="1248" t="s">
        <v>463</v>
      </c>
      <c r="U57" s="1247"/>
      <c r="V57" s="1247"/>
      <c r="W57" s="1247"/>
      <c r="X57" s="1247"/>
      <c r="Y57" s="1247"/>
      <c r="Z57" s="1247"/>
      <c r="AA57" s="1247"/>
      <c r="AB57" s="1247"/>
      <c r="AC57" s="1247"/>
      <c r="AD57" s="1247"/>
      <c r="AE57" s="1247"/>
      <c r="AF57" s="1247"/>
      <c r="AG57" s="1247"/>
      <c r="AH57" s="1247"/>
      <c r="AI57" s="1247"/>
      <c r="AJ57" s="1247"/>
      <c r="AK57" s="1247"/>
      <c r="AL57" s="1247"/>
      <c r="AM57" s="1247"/>
      <c r="AO57" s="718"/>
      <c r="AP57" s="718" t="str">
        <f t="shared" si="1"/>
        <v>Добавить наименование тарифа</v>
      </c>
      <c r="AQ57" s="718"/>
      <c r="AR57" s="718"/>
      <c r="AS57" s="454">
        <v>1</v>
      </c>
    </row>
    <row r="58" spans="1:45" ht="11.45" customHeight="1">
      <c r="M58" s="1083"/>
      <c r="N58" s="1083"/>
      <c r="O58" s="473"/>
      <c r="P58" s="1078"/>
      <c r="Q58" s="1078"/>
      <c r="R58" s="1078"/>
      <c r="S58" s="1078"/>
      <c r="AN58" s="1078"/>
      <c r="AO58" s="1078"/>
      <c r="AP58" s="1078"/>
      <c r="AQ58" s="1078"/>
      <c r="AR58" s="1078"/>
      <c r="AS58" s="1078">
        <v>11</v>
      </c>
    </row>
    <row r="59" spans="1:45" ht="28.5" customHeight="1">
      <c r="O59" s="473"/>
      <c r="S59" s="1176"/>
      <c r="T59" s="2526"/>
      <c r="U59" s="2526"/>
      <c r="V59" s="2526"/>
      <c r="W59" s="2526"/>
      <c r="X59" s="2526"/>
      <c r="Y59" s="2526"/>
      <c r="Z59" s="2526"/>
      <c r="AA59" s="2526"/>
      <c r="AB59" s="2526"/>
      <c r="AC59" s="2526"/>
      <c r="AD59" s="2526"/>
      <c r="AE59" s="2526"/>
      <c r="AF59" s="2526"/>
      <c r="AG59" s="2526"/>
      <c r="AH59" s="2526"/>
      <c r="AI59" s="2526"/>
      <c r="AJ59" s="2526"/>
      <c r="AK59" s="2526"/>
      <c r="AL59" s="2526"/>
      <c r="AM59" s="2526"/>
      <c r="AS59" s="1078">
        <v>27</v>
      </c>
    </row>
    <row r="60" spans="1:45" ht="65.25" customHeight="1">
      <c r="O60" s="473"/>
      <c r="T60" s="2526"/>
      <c r="U60" s="2526"/>
      <c r="V60" s="2526"/>
      <c r="W60" s="2526"/>
      <c r="X60" s="2526"/>
      <c r="Y60" s="2526"/>
      <c r="Z60" s="2526"/>
      <c r="AA60" s="2526"/>
      <c r="AB60" s="2526"/>
      <c r="AC60" s="2526"/>
      <c r="AD60" s="2526"/>
      <c r="AE60" s="2526"/>
      <c r="AF60" s="2526"/>
      <c r="AG60" s="2526"/>
      <c r="AH60" s="2526"/>
      <c r="AI60" s="2526"/>
      <c r="AJ60" s="2526"/>
      <c r="AK60" s="2526"/>
      <c r="AL60" s="2526"/>
      <c r="AM60" s="2526"/>
      <c r="AS60" s="1078">
        <v>62</v>
      </c>
    </row>
    <row r="61" spans="1:45" ht="14.65" customHeight="1">
      <c r="O61" s="473"/>
      <c r="AS61" s="1078">
        <v>14</v>
      </c>
    </row>
    <row r="62" spans="1:45" ht="18.75" customHeight="1">
      <c r="O62" s="473"/>
      <c r="S62" s="1176"/>
      <c r="T62" s="2526"/>
      <c r="U62" s="2526"/>
      <c r="V62" s="2526"/>
      <c r="W62" s="2526"/>
      <c r="X62" s="2526"/>
      <c r="Y62" s="2526"/>
      <c r="Z62" s="2526"/>
      <c r="AA62" s="2526"/>
      <c r="AB62" s="2526"/>
      <c r="AC62" s="2526"/>
      <c r="AD62" s="2526"/>
      <c r="AE62" s="2526"/>
      <c r="AF62" s="2526"/>
      <c r="AG62" s="2526"/>
      <c r="AH62" s="2526"/>
      <c r="AI62" s="2526"/>
      <c r="AJ62" s="2526"/>
      <c r="AK62" s="2526"/>
      <c r="AL62" s="2526"/>
      <c r="AM62" s="2526"/>
      <c r="AS62" s="1078">
        <v>18</v>
      </c>
    </row>
    <row r="63" spans="1:45" ht="18.75" customHeight="1">
      <c r="O63" s="473"/>
      <c r="T63" s="2526"/>
      <c r="U63" s="2526"/>
      <c r="V63" s="2526"/>
      <c r="W63" s="2526"/>
      <c r="X63" s="2526"/>
      <c r="Y63" s="2526"/>
      <c r="Z63" s="2526"/>
      <c r="AA63" s="2526"/>
      <c r="AB63" s="2526"/>
      <c r="AC63" s="2526"/>
      <c r="AD63" s="2526"/>
      <c r="AE63" s="2526"/>
      <c r="AF63" s="2526"/>
      <c r="AG63" s="2526"/>
      <c r="AH63" s="2526"/>
      <c r="AI63" s="2526"/>
      <c r="AJ63" s="2526"/>
      <c r="AK63" s="2526"/>
      <c r="AL63" s="2526"/>
      <c r="AM63" s="2526"/>
      <c r="AS63" s="1078">
        <v>18</v>
      </c>
    </row>
    <row r="64" spans="1:45" ht="29.25" customHeight="1">
      <c r="O64" s="473"/>
      <c r="S64" s="1176"/>
      <c r="T64" s="2526"/>
      <c r="U64" s="2526"/>
      <c r="V64" s="2526"/>
      <c r="W64" s="2526"/>
      <c r="X64" s="2526"/>
      <c r="Y64" s="2526"/>
      <c r="Z64" s="2526"/>
      <c r="AA64" s="2526"/>
      <c r="AB64" s="2526"/>
      <c r="AC64" s="2526"/>
      <c r="AD64" s="2526"/>
      <c r="AE64" s="2526"/>
      <c r="AF64" s="2526"/>
      <c r="AG64" s="2526"/>
      <c r="AH64" s="2526"/>
      <c r="AI64" s="2526"/>
      <c r="AJ64" s="2526"/>
      <c r="AK64" s="2526"/>
      <c r="AL64" s="2526"/>
      <c r="AM64" s="2526"/>
      <c r="AS64" s="1078">
        <v>28</v>
      </c>
    </row>
    <row r="65" spans="1:45" ht="22.5" hidden="1" customHeight="1">
      <c r="A65" s="1083" t="s">
        <v>83</v>
      </c>
      <c r="B65" s="1083">
        <v>0</v>
      </c>
      <c r="C65" s="1083">
        <v>0</v>
      </c>
      <c r="D65" s="1083">
        <v>0</v>
      </c>
      <c r="E65" s="1083">
        <v>0</v>
      </c>
      <c r="F65" s="1083">
        <v>0</v>
      </c>
      <c r="G65" s="1083">
        <v>0</v>
      </c>
      <c r="H65" s="1083">
        <v>0</v>
      </c>
      <c r="I65" s="1083">
        <v>0</v>
      </c>
      <c r="J65" s="1083">
        <v>0</v>
      </c>
      <c r="K65" s="1083">
        <v>0</v>
      </c>
      <c r="L65" s="1252">
        <v>0</v>
      </c>
      <c r="M65" s="1285">
        <v>0</v>
      </c>
      <c r="N65" s="1285">
        <v>0</v>
      </c>
      <c r="O65" s="1285">
        <v>0</v>
      </c>
      <c r="P65" s="1251">
        <v>3</v>
      </c>
      <c r="Q65" s="281">
        <v>3</v>
      </c>
      <c r="R65" s="281">
        <v>3</v>
      </c>
      <c r="S65" s="517">
        <v>12</v>
      </c>
      <c r="T65" s="1078">
        <v>31</v>
      </c>
      <c r="U65" s="1078">
        <v>0</v>
      </c>
      <c r="V65" s="1078">
        <v>0</v>
      </c>
      <c r="W65" s="1078">
        <v>0</v>
      </c>
      <c r="X65" s="1078">
        <v>0</v>
      </c>
      <c r="Y65" s="1078">
        <v>0</v>
      </c>
      <c r="Z65" s="1078">
        <v>0</v>
      </c>
      <c r="AA65" s="1078">
        <v>0</v>
      </c>
      <c r="AB65" s="1078">
        <v>0</v>
      </c>
      <c r="AC65" s="1078">
        <v>0</v>
      </c>
      <c r="AD65" s="1078">
        <v>24</v>
      </c>
      <c r="AE65" s="1078">
        <v>0</v>
      </c>
      <c r="AF65" s="1078">
        <v>24</v>
      </c>
      <c r="AG65" s="1078">
        <v>24</v>
      </c>
      <c r="AH65" s="1078">
        <v>11</v>
      </c>
      <c r="AI65" s="1078">
        <v>3</v>
      </c>
      <c r="AJ65" s="1078">
        <v>11</v>
      </c>
      <c r="AK65" s="1078">
        <v>0</v>
      </c>
      <c r="AL65" s="1078">
        <v>4</v>
      </c>
      <c r="AM65" s="1078">
        <v>115</v>
      </c>
      <c r="AN65" s="447">
        <v>10</v>
      </c>
      <c r="AO65" s="447">
        <v>10</v>
      </c>
      <c r="AP65" s="447">
        <v>10</v>
      </c>
      <c r="AQ65" s="447">
        <v>10</v>
      </c>
      <c r="AR65" s="447">
        <v>10</v>
      </c>
      <c r="AS65" s="1078">
        <v>23</v>
      </c>
    </row>
  </sheetData>
  <sheetProtection formatColumns="0" formatRows="0" insertRows="0" deleteColumns="0" deleteRows="0" sort="0" autoFilter="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58" hidden="1"/>
    <col min="2" max="2" width="11" style="1558" hidden="1" customWidth="1"/>
    <col min="3" max="3" width="10.5703125" style="1558" hidden="1"/>
    <col min="4" max="4" width="11.85546875" style="1558" hidden="1" customWidth="1"/>
    <col min="5" max="5" width="10" style="1558" hidden="1" customWidth="1"/>
    <col min="6" max="6" width="8.7109375" style="1558" hidden="1" customWidth="1"/>
    <col min="7" max="7" width="7.5703125" style="1558" hidden="1" customWidth="1"/>
    <col min="8" max="8" width="11.42578125" style="1558" hidden="1" customWidth="1"/>
    <col min="9" max="9" width="12" style="1558" hidden="1" customWidth="1"/>
    <col min="10" max="10" width="9.85546875" style="1558" hidden="1" customWidth="1"/>
    <col min="11" max="11" width="11.42578125" style="1558" hidden="1" customWidth="1"/>
    <col min="12" max="12" width="19.140625" style="2015" hidden="1" customWidth="1"/>
    <col min="13" max="14" width="12.28515625" style="2032" hidden="1" customWidth="1"/>
    <col min="15" max="15" width="23.42578125" style="2032" hidden="1" customWidth="1"/>
    <col min="16" max="16" width="3" style="2032" customWidth="1"/>
    <col min="17" max="18" width="3" style="281" customWidth="1"/>
    <col min="19" max="19" width="12" style="2033" customWidth="1"/>
    <col min="20" max="20" width="31" style="1558" customWidth="1"/>
    <col min="21" max="21" width="0.140625" style="1558" customWidth="1"/>
    <col min="22" max="22" width="24.7109375" style="1558" hidden="1" customWidth="1"/>
    <col min="23" max="23" width="0.140625" style="1558" hidden="1" customWidth="1"/>
    <col min="24" max="25" width="24.7109375" style="1558" hidden="1" customWidth="1"/>
    <col min="26" max="26" width="11.7109375" style="1558" hidden="1" customWidth="1"/>
    <col min="27" max="27" width="3.7109375" style="1558" hidden="1" customWidth="1"/>
    <col min="28" max="28" width="11.7109375" style="1558" hidden="1" customWidth="1"/>
    <col min="29" max="29" width="8.5703125" style="1558" hidden="1" customWidth="1"/>
    <col min="30" max="30" width="24.7109375" style="1558" customWidth="1"/>
    <col min="31" max="31" width="0.140625" style="1558" customWidth="1"/>
    <col min="32" max="33" width="24" style="1558" customWidth="1"/>
    <col min="34" max="34" width="11" style="1558" customWidth="1"/>
    <col min="35" max="35" width="3.7109375" style="1558" customWidth="1"/>
    <col min="36" max="36" width="11" style="1558" customWidth="1"/>
    <col min="37" max="37" width="8.5703125" style="1558" hidden="1" customWidth="1"/>
    <col min="38" max="38" width="4" style="1558" customWidth="1"/>
    <col min="39" max="39" width="115" style="1558" customWidth="1"/>
    <col min="40" max="44" width="10" style="1565" customWidth="1"/>
    <col min="45" max="45" width="10.5703125" style="1558" hidden="1"/>
  </cols>
  <sheetData>
    <row r="1" spans="1:45" ht="22.5" hidden="1" customHeight="1">
      <c r="AS1" s="1554" t="s">
        <v>14</v>
      </c>
    </row>
    <row r="2" spans="1:45" ht="21" hidden="1" customHeight="1">
      <c r="A2" s="1190"/>
      <c r="B2" s="1190"/>
      <c r="C2" s="1190"/>
      <c r="D2" s="1190"/>
      <c r="E2" s="2530">
        <v>1</v>
      </c>
      <c r="F2" s="1190"/>
      <c r="G2" s="1190"/>
      <c r="H2" s="1190"/>
      <c r="I2" s="1190"/>
      <c r="J2" s="1190"/>
      <c r="K2" s="1190"/>
      <c r="L2" s="1233"/>
      <c r="M2" s="1533"/>
      <c r="N2" s="1533"/>
      <c r="O2" s="1533"/>
      <c r="P2" s="1513"/>
      <c r="Q2" s="296"/>
      <c r="R2" s="291"/>
      <c r="S2" s="1872" t="e">
        <f>INDEX(PT_DIFFERENTIATION_NUM_NTAR,MATCH(A2,PT_DIFFERENTIATION_NTAR_ID,0))</f>
        <v>#N/A</v>
      </c>
      <c r="T2" s="1448" t="s">
        <v>144</v>
      </c>
      <c r="U2" s="237"/>
      <c r="V2" s="2492"/>
      <c r="W2" s="2493"/>
      <c r="X2" s="2493"/>
      <c r="Y2" s="2493"/>
      <c r="Z2" s="2493"/>
      <c r="AA2" s="2493"/>
      <c r="AB2" s="2493"/>
      <c r="AC2" s="2494"/>
      <c r="AD2" s="2492" t="e">
        <f>INDEX(PT_DIFFERENTIATION_NTAR,MATCH(A2,PT_DIFFERENTIATION_NTAR_ID,0))</f>
        <v>#N/A</v>
      </c>
      <c r="AE2" s="2493"/>
      <c r="AF2" s="2493"/>
      <c r="AG2" s="2493"/>
      <c r="AH2" s="2493"/>
      <c r="AI2" s="2493"/>
      <c r="AJ2" s="2493"/>
      <c r="AK2" s="2493"/>
      <c r="AL2" s="2494"/>
      <c r="AM2" s="1181" t="s">
        <v>415</v>
      </c>
      <c r="AO2" s="1547"/>
      <c r="AP2" s="1547" t="str">
        <f t="shared" ref="AP2:AP15" si="0">IF(T2="","",T2)</f>
        <v>Наименование тарифа</v>
      </c>
      <c r="AQ2" s="1547"/>
      <c r="AR2" s="1547"/>
      <c r="AS2" s="1554">
        <v>0</v>
      </c>
    </row>
    <row r="3" spans="1:45" ht="21" hidden="1" customHeight="1">
      <c r="A3" s="1190"/>
      <c r="B3" s="1190"/>
      <c r="C3" s="1190"/>
      <c r="D3" s="1190"/>
      <c r="E3" s="2531"/>
      <c r="F3" s="2530">
        <v>1</v>
      </c>
      <c r="G3" s="1190"/>
      <c r="H3" s="1190"/>
      <c r="I3" s="1190"/>
      <c r="J3" s="1190"/>
      <c r="K3" s="1190"/>
      <c r="L3" s="1233"/>
      <c r="M3" s="1533"/>
      <c r="N3" s="1533"/>
      <c r="O3" s="1533"/>
      <c r="P3" s="1854"/>
      <c r="Q3" s="288"/>
      <c r="R3" s="289"/>
      <c r="S3" s="1872" t="e">
        <f>INDEX(PT_DIFFERENTIATION_NUM_TER,MATCH(B3,PT_DIFFERENTIATION_TER_ID,0))</f>
        <v>#N/A</v>
      </c>
      <c r="T3" s="1445" t="s">
        <v>416</v>
      </c>
      <c r="U3" s="237"/>
      <c r="V3" s="2492"/>
      <c r="W3" s="2493"/>
      <c r="X3" s="2493"/>
      <c r="Y3" s="2493"/>
      <c r="Z3" s="2493"/>
      <c r="AA3" s="2493"/>
      <c r="AB3" s="2493"/>
      <c r="AC3" s="2494"/>
      <c r="AD3" s="2492" t="e">
        <f>INDEX(PT_DIFFERENTIATION_TER,MATCH(B3,PT_DIFFERENTIATION_TER_ID,0))</f>
        <v>#N/A</v>
      </c>
      <c r="AE3" s="2493"/>
      <c r="AF3" s="2493"/>
      <c r="AG3" s="2493"/>
      <c r="AH3" s="2493"/>
      <c r="AI3" s="2493"/>
      <c r="AJ3" s="2493"/>
      <c r="AK3" s="2493"/>
      <c r="AL3" s="2494"/>
      <c r="AM3" s="1181" t="s">
        <v>417</v>
      </c>
      <c r="AO3" s="1547"/>
      <c r="AP3" s="1547" t="str">
        <f t="shared" si="0"/>
        <v>Территория действия тарифа</v>
      </c>
      <c r="AQ3" s="1547"/>
      <c r="AR3" s="1547"/>
      <c r="AS3" s="1554">
        <v>0</v>
      </c>
    </row>
    <row r="4" spans="1:45" ht="23.25" hidden="1" customHeight="1">
      <c r="A4" s="1190"/>
      <c r="B4" s="1190"/>
      <c r="C4" s="1190"/>
      <c r="D4" s="1190"/>
      <c r="E4" s="2531"/>
      <c r="F4" s="2531"/>
      <c r="G4" s="2530">
        <v>1</v>
      </c>
      <c r="H4" s="1190"/>
      <c r="I4" s="1190"/>
      <c r="J4" s="1190"/>
      <c r="K4" s="1190"/>
      <c r="L4" s="1233"/>
      <c r="M4" s="1533"/>
      <c r="N4" s="1533"/>
      <c r="O4" s="1533"/>
      <c r="P4" s="290"/>
      <c r="Q4" s="288"/>
      <c r="R4" s="289"/>
      <c r="S4" s="1872" t="e">
        <f>INDEX(PT_DIFFERENTIATION_NUM_CS,MATCH(C4,PT_DIFFERENTIATION_CS_ID,0))</f>
        <v>#N/A</v>
      </c>
      <c r="T4" s="246" t="s">
        <v>418</v>
      </c>
      <c r="U4" s="237"/>
      <c r="V4" s="2492"/>
      <c r="W4" s="2493"/>
      <c r="X4" s="2493"/>
      <c r="Y4" s="2493"/>
      <c r="Z4" s="2493"/>
      <c r="AA4" s="2493"/>
      <c r="AB4" s="2493"/>
      <c r="AC4" s="2494"/>
      <c r="AD4" s="2492" t="e">
        <f>INDEX(PT_DIFFERENTIATION_CS,MATCH(C4,PT_DIFFERENTIATION_CS_ID,0))</f>
        <v>#N/A</v>
      </c>
      <c r="AE4" s="2493"/>
      <c r="AF4" s="2493"/>
      <c r="AG4" s="2493"/>
      <c r="AH4" s="2493"/>
      <c r="AI4" s="2493"/>
      <c r="AJ4" s="2493"/>
      <c r="AK4" s="2493"/>
      <c r="AL4" s="2494"/>
      <c r="AM4" s="1181" t="s">
        <v>419</v>
      </c>
      <c r="AO4" s="1547"/>
      <c r="AP4" s="1547" t="str">
        <f t="shared" si="0"/>
        <v xml:space="preserve">Наименование системы теплоснабжения </v>
      </c>
      <c r="AQ4" s="1547"/>
      <c r="AR4" s="1547"/>
      <c r="AS4" s="1554">
        <v>0</v>
      </c>
    </row>
    <row r="5" spans="1:45" ht="21" hidden="1" customHeight="1">
      <c r="A5" s="1190"/>
      <c r="B5" s="1190"/>
      <c r="C5" s="1190"/>
      <c r="D5" s="1190"/>
      <c r="E5" s="2531"/>
      <c r="F5" s="2531"/>
      <c r="G5" s="2531"/>
      <c r="H5" s="2530">
        <v>1</v>
      </c>
      <c r="I5" s="1190"/>
      <c r="J5" s="1190"/>
      <c r="K5" s="1190"/>
      <c r="L5" s="1233"/>
      <c r="M5" s="1533"/>
      <c r="N5" s="1533"/>
      <c r="O5" s="1533"/>
      <c r="P5" s="290"/>
      <c r="Q5" s="288"/>
      <c r="R5" s="289"/>
      <c r="S5" s="1872" t="e">
        <f>INDEX(PT_DIFFERENTIATION_NUM_IST_TE,MATCH(D5,PT_DIFFERENTIATION_IST_TE_ID,0))</f>
        <v>#N/A</v>
      </c>
      <c r="T5" s="247" t="s">
        <v>420</v>
      </c>
      <c r="U5" s="237"/>
      <c r="V5" s="2492"/>
      <c r="W5" s="2493"/>
      <c r="X5" s="2493"/>
      <c r="Y5" s="2493"/>
      <c r="Z5" s="2493"/>
      <c r="AA5" s="2493"/>
      <c r="AB5" s="2493"/>
      <c r="AC5" s="2494"/>
      <c r="AD5" s="2492" t="e">
        <f>INDEX(PT_DIFFERENTIATION_IST_TE,MATCH(D5,PT_DIFFERENTIATION_IST_TE_ID,0))</f>
        <v>#N/A</v>
      </c>
      <c r="AE5" s="2493"/>
      <c r="AF5" s="2493"/>
      <c r="AG5" s="2493"/>
      <c r="AH5" s="2493"/>
      <c r="AI5" s="2493"/>
      <c r="AJ5" s="2493"/>
      <c r="AK5" s="2493"/>
      <c r="AL5" s="2494"/>
      <c r="AM5" s="1181" t="s">
        <v>421</v>
      </c>
      <c r="AO5" s="1547"/>
      <c r="AP5" s="1547" t="str">
        <f t="shared" si="0"/>
        <v xml:space="preserve">Источник тепловой энергии  </v>
      </c>
      <c r="AQ5" s="1547"/>
      <c r="AR5" s="1547"/>
      <c r="AS5" s="1554">
        <v>0</v>
      </c>
    </row>
    <row r="6" spans="1:45" ht="47.25" hidden="1" customHeight="1">
      <c r="A6" s="1190"/>
      <c r="B6" s="1190"/>
      <c r="C6" s="1190"/>
      <c r="D6" s="1190"/>
      <c r="E6" s="2531"/>
      <c r="F6" s="2531"/>
      <c r="G6" s="2531"/>
      <c r="H6" s="2531"/>
      <c r="I6" s="2371" t="e">
        <f>S5&amp;".1"</f>
        <v>#N/A</v>
      </c>
      <c r="J6" s="1190"/>
      <c r="K6" s="1190"/>
      <c r="L6" s="1233" t="s">
        <v>422</v>
      </c>
      <c r="M6" s="1558"/>
      <c r="P6" s="2505">
        <v>1</v>
      </c>
      <c r="Q6" s="1868"/>
      <c r="R6" s="292"/>
      <c r="S6" s="1872" t="e">
        <f>$I6</f>
        <v>#N/A</v>
      </c>
      <c r="T6" s="222" t="s">
        <v>423</v>
      </c>
      <c r="U6" s="237"/>
      <c r="V6" s="2495"/>
      <c r="W6" s="2496"/>
      <c r="X6" s="2496"/>
      <c r="Y6" s="2496"/>
      <c r="Z6" s="2496"/>
      <c r="AA6" s="2496"/>
      <c r="AB6" s="2496"/>
      <c r="AC6" s="2497"/>
      <c r="AD6" s="2495"/>
      <c r="AE6" s="2496"/>
      <c r="AF6" s="2496"/>
      <c r="AG6" s="2496"/>
      <c r="AH6" s="2496"/>
      <c r="AI6" s="2496"/>
      <c r="AJ6" s="2496"/>
      <c r="AK6" s="2496"/>
      <c r="AL6" s="2497"/>
      <c r="AM6" s="1181" t="s">
        <v>424</v>
      </c>
      <c r="AO6" s="1547"/>
      <c r="AP6" s="1547" t="str">
        <f t="shared" si="0"/>
        <v>Схема подключения теплопотребляющей установки к коллектору источника тепловой энергии</v>
      </c>
      <c r="AQ6" s="1547"/>
      <c r="AR6" s="1547"/>
      <c r="AS6" s="1554">
        <v>0</v>
      </c>
    </row>
    <row r="7" spans="1:45" ht="21" hidden="1" customHeight="1">
      <c r="A7" s="1190"/>
      <c r="B7" s="1190"/>
      <c r="C7" s="1190"/>
      <c r="D7" s="1190"/>
      <c r="E7" s="2531"/>
      <c r="F7" s="2531"/>
      <c r="G7" s="2531"/>
      <c r="H7" s="2531"/>
      <c r="I7" s="2350"/>
      <c r="J7" s="2371" t="e">
        <f>I6&amp;".1"</f>
        <v>#N/A</v>
      </c>
      <c r="K7" s="1190"/>
      <c r="L7" s="1233" t="s">
        <v>425</v>
      </c>
      <c r="M7" s="1558"/>
      <c r="N7" s="1554"/>
      <c r="P7" s="2505"/>
      <c r="Q7" s="2505">
        <v>1</v>
      </c>
      <c r="R7" s="293"/>
      <c r="S7" s="1872" t="e">
        <f>$J7</f>
        <v>#N/A</v>
      </c>
      <c r="T7" s="223" t="s">
        <v>426</v>
      </c>
      <c r="U7" s="237"/>
      <c r="V7" s="2495"/>
      <c r="W7" s="2496"/>
      <c r="X7" s="2496"/>
      <c r="Y7" s="2496"/>
      <c r="Z7" s="2496"/>
      <c r="AA7" s="2496"/>
      <c r="AB7" s="2496"/>
      <c r="AC7" s="2497"/>
      <c r="AD7" s="2495"/>
      <c r="AE7" s="2496"/>
      <c r="AF7" s="2496"/>
      <c r="AG7" s="2496"/>
      <c r="AH7" s="2496"/>
      <c r="AI7" s="2496"/>
      <c r="AJ7" s="2496"/>
      <c r="AK7" s="2496"/>
      <c r="AL7" s="2497"/>
      <c r="AM7" s="1181" t="s">
        <v>427</v>
      </c>
      <c r="AO7" s="1547"/>
      <c r="AP7" s="1547" t="str">
        <f t="shared" si="0"/>
        <v>Группа потребителей</v>
      </c>
      <c r="AQ7" s="1547"/>
      <c r="AR7" s="1547"/>
      <c r="AS7" s="1554">
        <v>0</v>
      </c>
    </row>
    <row r="8" spans="1:45" ht="21" hidden="1" customHeight="1">
      <c r="A8" s="1190"/>
      <c r="B8" s="1190"/>
      <c r="C8" s="1190"/>
      <c r="D8" s="1190"/>
      <c r="E8" s="2531"/>
      <c r="F8" s="2531"/>
      <c r="G8" s="2531"/>
      <c r="H8" s="2531"/>
      <c r="I8" s="2350"/>
      <c r="J8" s="2350"/>
      <c r="K8" s="2371" t="e">
        <f>J7&amp;".1"</f>
        <v>#N/A</v>
      </c>
      <c r="L8" s="1233" t="s">
        <v>428</v>
      </c>
      <c r="M8" s="1558"/>
      <c r="N8" s="1554"/>
      <c r="O8" s="1554"/>
      <c r="P8" s="2505"/>
      <c r="Q8" s="2505"/>
      <c r="R8" s="293">
        <v>1</v>
      </c>
      <c r="S8" s="1872" t="e">
        <f>$K8</f>
        <v>#N/A</v>
      </c>
      <c r="T8" s="1270"/>
      <c r="U8" s="237"/>
      <c r="V8" s="686"/>
      <c r="W8" s="262"/>
      <c r="X8" s="686"/>
      <c r="Y8" s="1180"/>
      <c r="Z8" s="2509"/>
      <c r="AA8" s="2360" t="s">
        <v>63</v>
      </c>
      <c r="AB8" s="2509"/>
      <c r="AC8" s="2360" t="s">
        <v>63</v>
      </c>
      <c r="AD8" s="686"/>
      <c r="AE8" s="262"/>
      <c r="AF8" s="686"/>
      <c r="AG8" s="1180"/>
      <c r="AH8" s="2509"/>
      <c r="AI8" s="2360" t="s">
        <v>63</v>
      </c>
      <c r="AJ8" s="2509"/>
      <c r="AK8" s="2360" t="s">
        <v>63</v>
      </c>
      <c r="AL8" s="262"/>
      <c r="AM8" s="2501" t="s">
        <v>429</v>
      </c>
      <c r="AN8" s="1559" t="e">
        <f ca="1">STRCHECKDATE(V9:AL9)</f>
        <v>#NAME?</v>
      </c>
      <c r="AO8" s="1547"/>
      <c r="AP8" s="1547" t="str">
        <f t="shared" si="0"/>
        <v/>
      </c>
      <c r="AQ8" s="1547"/>
      <c r="AR8" s="1547"/>
      <c r="AS8" s="1554">
        <v>0</v>
      </c>
    </row>
    <row r="9" spans="1:45" ht="0.75" hidden="1" customHeight="1">
      <c r="A9" s="1190"/>
      <c r="B9" s="1190"/>
      <c r="C9" s="1190"/>
      <c r="D9" s="1190"/>
      <c r="E9" s="2531"/>
      <c r="F9" s="2531"/>
      <c r="G9" s="2531"/>
      <c r="H9" s="2531"/>
      <c r="I9" s="2350"/>
      <c r="J9" s="2350"/>
      <c r="K9" s="2371"/>
      <c r="L9" s="1233"/>
      <c r="M9" s="1558"/>
      <c r="N9" s="1554"/>
      <c r="O9" s="1554"/>
      <c r="P9" s="2505"/>
      <c r="Q9" s="2505"/>
      <c r="R9" s="293"/>
      <c r="S9" s="1881"/>
      <c r="T9" s="237"/>
      <c r="U9" s="237"/>
      <c r="V9" s="262"/>
      <c r="W9" s="262"/>
      <c r="X9" s="262"/>
      <c r="Y9" s="265" t="str">
        <f>Z8&amp;"-"&amp;AB8</f>
        <v>-</v>
      </c>
      <c r="Z9" s="2510"/>
      <c r="AA9" s="2360"/>
      <c r="AB9" s="2510"/>
      <c r="AC9" s="2360"/>
      <c r="AD9" s="262"/>
      <c r="AE9" s="262"/>
      <c r="AF9" s="262"/>
      <c r="AG9" s="265" t="str">
        <f>AH8&amp;"-"&amp;AJ8</f>
        <v>-</v>
      </c>
      <c r="AH9" s="2510"/>
      <c r="AI9" s="2360"/>
      <c r="AJ9" s="2510"/>
      <c r="AK9" s="2360"/>
      <c r="AL9" s="262"/>
      <c r="AM9" s="2502"/>
      <c r="AO9" s="1547"/>
      <c r="AP9" s="1547" t="str">
        <f t="shared" si="0"/>
        <v/>
      </c>
      <c r="AQ9" s="1547"/>
      <c r="AR9" s="1547"/>
      <c r="AS9" s="1554">
        <v>0</v>
      </c>
    </row>
    <row r="10" spans="1:45" ht="15" hidden="1" customHeight="1">
      <c r="A10" s="1190"/>
      <c r="B10" s="1190"/>
      <c r="C10" s="1190"/>
      <c r="D10" s="1190"/>
      <c r="E10" s="2531"/>
      <c r="F10" s="2531"/>
      <c r="G10" s="2531"/>
      <c r="H10" s="2531"/>
      <c r="I10" s="2350"/>
      <c r="J10" s="2371"/>
      <c r="K10" s="1190"/>
      <c r="L10" s="1233"/>
      <c r="M10" s="1558"/>
      <c r="N10" s="1554"/>
      <c r="P10" s="2505"/>
      <c r="Q10" s="2505"/>
      <c r="R10" s="292"/>
      <c r="S10" s="1201"/>
      <c r="T10" s="225" t="s">
        <v>430</v>
      </c>
      <c r="U10" s="536"/>
      <c r="V10" s="536"/>
      <c r="W10" s="536"/>
      <c r="X10" s="536"/>
      <c r="Y10" s="536"/>
      <c r="Z10" s="536"/>
      <c r="AA10" s="536"/>
      <c r="AB10" s="536"/>
      <c r="AC10" s="536"/>
      <c r="AD10" s="536"/>
      <c r="AE10" s="536"/>
      <c r="AF10" s="536"/>
      <c r="AG10" s="536"/>
      <c r="AH10" s="536"/>
      <c r="AI10" s="536"/>
      <c r="AJ10" s="536"/>
      <c r="AK10" s="536"/>
      <c r="AL10" s="261"/>
      <c r="AM10" s="2503"/>
      <c r="AO10" s="1547"/>
      <c r="AP10" s="1547" t="str">
        <f t="shared" si="0"/>
        <v>Добавить вид теплоносителя (параметры теплоносителя)</v>
      </c>
      <c r="AQ10" s="1547"/>
      <c r="AR10" s="1547"/>
      <c r="AS10" s="1554">
        <v>0</v>
      </c>
    </row>
    <row r="11" spans="1:45" ht="15" hidden="1" customHeight="1">
      <c r="A11" s="1190"/>
      <c r="B11" s="1190"/>
      <c r="C11" s="1190"/>
      <c r="D11" s="1190"/>
      <c r="E11" s="2531"/>
      <c r="F11" s="2531"/>
      <c r="G11" s="2531"/>
      <c r="H11" s="2531"/>
      <c r="I11" s="2371"/>
      <c r="J11" s="1190"/>
      <c r="K11" s="1190"/>
      <c r="L11" s="1233"/>
      <c r="M11" s="1558"/>
      <c r="P11" s="2505"/>
      <c r="Q11" s="1868"/>
      <c r="R11" s="292"/>
      <c r="S11" s="1201"/>
      <c r="T11" s="224" t="s">
        <v>431</v>
      </c>
      <c r="U11" s="536"/>
      <c r="V11" s="536"/>
      <c r="W11" s="536"/>
      <c r="X11" s="536"/>
      <c r="Y11" s="536"/>
      <c r="Z11" s="536"/>
      <c r="AA11" s="536"/>
      <c r="AB11" s="536"/>
      <c r="AC11" s="302"/>
      <c r="AD11" s="536"/>
      <c r="AE11" s="536"/>
      <c r="AF11" s="536"/>
      <c r="AG11" s="536"/>
      <c r="AH11" s="536"/>
      <c r="AI11" s="536"/>
      <c r="AJ11" s="536"/>
      <c r="AK11" s="302"/>
      <c r="AL11" s="536"/>
      <c r="AM11" s="240"/>
      <c r="AO11" s="1547"/>
      <c r="AP11" s="1547" t="str">
        <f t="shared" si="0"/>
        <v>Добавить группу потребителей</v>
      </c>
      <c r="AQ11" s="1547"/>
      <c r="AR11" s="1547"/>
      <c r="AS11" s="1554">
        <v>0</v>
      </c>
    </row>
    <row r="12" spans="1:45" ht="14.25" hidden="1" customHeight="1">
      <c r="A12" s="1190"/>
      <c r="B12" s="1190"/>
      <c r="C12" s="1190"/>
      <c r="D12" s="1190"/>
      <c r="E12" s="2531"/>
      <c r="F12" s="2531"/>
      <c r="G12" s="2531"/>
      <c r="H12" s="2530"/>
      <c r="I12" s="1190"/>
      <c r="J12" s="1190"/>
      <c r="K12" s="1190"/>
      <c r="L12" s="1233"/>
      <c r="M12" s="1533"/>
      <c r="N12" s="1533"/>
      <c r="O12" s="1558"/>
      <c r="P12" s="296"/>
      <c r="Q12" s="311"/>
      <c r="R12" s="291"/>
      <c r="S12" s="1201"/>
      <c r="T12" s="301" t="s">
        <v>432</v>
      </c>
      <c r="U12" s="536"/>
      <c r="V12" s="536"/>
      <c r="W12" s="536"/>
      <c r="X12" s="536"/>
      <c r="Y12" s="536"/>
      <c r="Z12" s="536"/>
      <c r="AA12" s="536"/>
      <c r="AB12" s="536"/>
      <c r="AC12" s="302"/>
      <c r="AD12" s="536"/>
      <c r="AE12" s="536"/>
      <c r="AF12" s="536"/>
      <c r="AG12" s="536"/>
      <c r="AH12" s="536"/>
      <c r="AI12" s="536"/>
      <c r="AJ12" s="536"/>
      <c r="AK12" s="302"/>
      <c r="AL12" s="536"/>
      <c r="AM12" s="240"/>
      <c r="AO12" s="1547"/>
      <c r="AP12" s="1547" t="str">
        <f t="shared" si="0"/>
        <v>Добавить схему подключения</v>
      </c>
      <c r="AQ12" s="1547"/>
      <c r="AR12" s="1547"/>
      <c r="AS12" s="1554">
        <v>0</v>
      </c>
    </row>
    <row r="13" spans="1:45" s="1565" customFormat="1" ht="0.75" hidden="1" customHeight="1">
      <c r="A13" s="1297"/>
      <c r="B13" s="1297"/>
      <c r="C13" s="1297"/>
      <c r="D13" s="1297"/>
      <c r="E13" s="2531"/>
      <c r="F13" s="2531"/>
      <c r="G13" s="2530"/>
      <c r="H13" s="1297"/>
      <c r="I13" s="1297"/>
      <c r="J13" s="1297"/>
      <c r="K13" s="1297"/>
      <c r="L13" s="1300"/>
      <c r="M13" s="1301"/>
      <c r="N13" s="1301"/>
      <c r="O13" s="287"/>
      <c r="P13" s="1239"/>
      <c r="Q13" s="1240"/>
      <c r="R13" s="1239"/>
      <c r="S13" s="1241"/>
      <c r="T13" s="1242" t="s">
        <v>433</v>
      </c>
      <c r="U13" s="1243"/>
      <c r="V13" s="1243"/>
      <c r="W13" s="1243"/>
      <c r="X13" s="1243"/>
      <c r="Y13" s="1243"/>
      <c r="Z13" s="1243"/>
      <c r="AA13" s="1243"/>
      <c r="AB13" s="1243"/>
      <c r="AC13" s="1243"/>
      <c r="AD13" s="1243"/>
      <c r="AE13" s="1243"/>
      <c r="AF13" s="1243"/>
      <c r="AG13" s="1243"/>
      <c r="AH13" s="1243"/>
      <c r="AI13" s="1243"/>
      <c r="AJ13" s="1243"/>
      <c r="AK13" s="1243"/>
      <c r="AL13" s="1243"/>
      <c r="AM13" s="1243"/>
      <c r="AO13" s="1174"/>
      <c r="AP13" s="1174" t="str">
        <f t="shared" si="0"/>
        <v>Добавить источник для дифференциации</v>
      </c>
      <c r="AQ13" s="1174"/>
      <c r="AR13" s="1174"/>
      <c r="AS13" s="1565">
        <v>0</v>
      </c>
    </row>
    <row r="14" spans="1:45" s="1565" customFormat="1" ht="0.75" hidden="1" customHeight="1">
      <c r="A14" s="1297"/>
      <c r="B14" s="1297"/>
      <c r="C14" s="1297"/>
      <c r="D14" s="1297"/>
      <c r="E14" s="2531"/>
      <c r="F14" s="2530"/>
      <c r="G14" s="1297"/>
      <c r="H14" s="1297"/>
      <c r="I14" s="1297"/>
      <c r="J14" s="1297"/>
      <c r="K14" s="1297"/>
      <c r="L14" s="1300"/>
      <c r="M14" s="1302"/>
      <c r="N14" s="1302"/>
      <c r="O14" s="287"/>
      <c r="P14" s="1239"/>
      <c r="Q14" s="1240"/>
      <c r="R14" s="1239"/>
      <c r="S14" s="1245"/>
      <c r="T14" s="1246" t="s">
        <v>434</v>
      </c>
      <c r="U14" s="1247"/>
      <c r="V14" s="1247"/>
      <c r="W14" s="1247"/>
      <c r="X14" s="1247"/>
      <c r="Y14" s="1247"/>
      <c r="Z14" s="1247"/>
      <c r="AA14" s="1247"/>
      <c r="AB14" s="1247"/>
      <c r="AC14" s="1247"/>
      <c r="AD14" s="1247"/>
      <c r="AE14" s="1247"/>
      <c r="AF14" s="1247"/>
      <c r="AG14" s="1247"/>
      <c r="AH14" s="1247"/>
      <c r="AI14" s="1247"/>
      <c r="AJ14" s="1247"/>
      <c r="AK14" s="1247"/>
      <c r="AL14" s="1247"/>
      <c r="AM14" s="1247"/>
      <c r="AO14" s="1174"/>
      <c r="AP14" s="1174" t="str">
        <f t="shared" si="0"/>
        <v>Добавить централизованную систему для дифференциации</v>
      </c>
      <c r="AQ14" s="1174"/>
      <c r="AR14" s="1174"/>
      <c r="AS14" s="1565">
        <v>0</v>
      </c>
    </row>
    <row r="15" spans="1:45" s="1565" customFormat="1" ht="0.75" hidden="1" customHeight="1">
      <c r="A15" s="1297"/>
      <c r="B15" s="1297"/>
      <c r="C15" s="1297"/>
      <c r="D15" s="1297"/>
      <c r="E15" s="2530"/>
      <c r="F15" s="1297"/>
      <c r="G15" s="1297"/>
      <c r="H15" s="1297"/>
      <c r="I15" s="1297"/>
      <c r="J15" s="1297"/>
      <c r="K15" s="1297"/>
      <c r="L15" s="1300"/>
      <c r="M15" s="1302"/>
      <c r="N15" s="1302"/>
      <c r="O15" s="287"/>
      <c r="P15" s="1239"/>
      <c r="Q15" s="1240"/>
      <c r="R15" s="1239"/>
      <c r="S15" s="1245"/>
      <c r="T15" s="1248" t="s">
        <v>435</v>
      </c>
      <c r="U15" s="1247"/>
      <c r="V15" s="1247"/>
      <c r="W15" s="1247"/>
      <c r="X15" s="1247"/>
      <c r="Y15" s="1247"/>
      <c r="Z15" s="1247"/>
      <c r="AA15" s="1247"/>
      <c r="AB15" s="1247"/>
      <c r="AC15" s="1247"/>
      <c r="AD15" s="1247"/>
      <c r="AE15" s="1247"/>
      <c r="AF15" s="1247"/>
      <c r="AG15" s="1247"/>
      <c r="AH15" s="1247"/>
      <c r="AI15" s="1247"/>
      <c r="AJ15" s="1247"/>
      <c r="AK15" s="1247"/>
      <c r="AL15" s="1247"/>
      <c r="AM15" s="1247"/>
      <c r="AO15" s="1174"/>
      <c r="AP15" s="1174" t="str">
        <f t="shared" si="0"/>
        <v>Добавить территорию для дифференциации</v>
      </c>
      <c r="AQ15" s="1174"/>
      <c r="AR15" s="1174"/>
      <c r="AS15" s="1565">
        <v>0</v>
      </c>
    </row>
    <row r="16" spans="1:45" ht="14.25" hidden="1" customHeight="1">
      <c r="AS16" s="1554">
        <v>0</v>
      </c>
    </row>
    <row r="17" spans="1:45" ht="14.25" hidden="1" customHeight="1">
      <c r="AD17" s="1283"/>
      <c r="AE17" s="1283"/>
      <c r="AF17" s="1283"/>
      <c r="AG17" s="1284"/>
      <c r="AH17" s="2511"/>
      <c r="AI17" s="2512" t="s">
        <v>63</v>
      </c>
      <c r="AJ17" s="2511"/>
      <c r="AK17" s="2512" t="s">
        <v>63</v>
      </c>
      <c r="AS17" s="1554">
        <v>0</v>
      </c>
    </row>
    <row r="18" spans="1:45" ht="14.25" hidden="1" customHeight="1">
      <c r="AD18" s="1283"/>
      <c r="AE18" s="1283"/>
      <c r="AF18" s="1283"/>
      <c r="AG18" s="265" t="str">
        <f>AH17&amp;"-"&amp;AJ17</f>
        <v>-</v>
      </c>
      <c r="AH18" s="2512"/>
      <c r="AI18" s="2512"/>
      <c r="AJ18" s="2512"/>
      <c r="AK18" s="2512"/>
      <c r="AS18" s="1554">
        <v>0</v>
      </c>
    </row>
    <row r="19" spans="1:45" ht="14.25" hidden="1" customHeight="1">
      <c r="AS19" s="1554">
        <v>0</v>
      </c>
    </row>
    <row r="20" spans="1:45" s="1289" customFormat="1" ht="22.5" hidden="1" customHeight="1">
      <c r="A20" s="1554"/>
      <c r="B20" s="1554"/>
      <c r="C20" s="1554"/>
      <c r="D20" s="1554"/>
      <c r="E20" s="1554"/>
      <c r="F20" s="1554"/>
      <c r="G20" s="1554"/>
      <c r="H20" s="1554"/>
      <c r="I20" s="1554"/>
      <c r="J20" s="1554"/>
      <c r="K20" s="1554"/>
      <c r="L20" s="1853"/>
      <c r="M20" s="1879"/>
      <c r="N20" s="1879"/>
      <c r="O20" s="1268" t="s">
        <v>436</v>
      </c>
      <c r="P20" s="1285"/>
      <c r="Q20" s="1294"/>
      <c r="R20" s="1294"/>
      <c r="S20" s="665"/>
      <c r="Z20" s="1290"/>
      <c r="AB20" s="1290"/>
      <c r="AH20" s="1290"/>
      <c r="AJ20" s="1290"/>
      <c r="AN20" s="1559"/>
      <c r="AO20" s="1559"/>
      <c r="AP20" s="1559"/>
      <c r="AQ20" s="1559"/>
      <c r="AR20" s="1559"/>
      <c r="AS20" s="1289">
        <v>0</v>
      </c>
    </row>
    <row r="21" spans="1:45" s="1289" customFormat="1" ht="14.25" hidden="1" customHeight="1">
      <c r="A21" s="1554"/>
      <c r="B21" s="1554"/>
      <c r="C21" s="1554"/>
      <c r="D21" s="1554"/>
      <c r="E21" s="1554"/>
      <c r="F21" s="1554"/>
      <c r="G21" s="1554"/>
      <c r="H21" s="1554"/>
      <c r="I21" s="1554"/>
      <c r="J21" s="1554"/>
      <c r="K21" s="1554"/>
      <c r="L21" s="1853"/>
      <c r="M21" s="1879"/>
      <c r="N21" s="1879"/>
      <c r="O21" s="1879"/>
      <c r="P21" s="1285"/>
      <c r="Q21" s="1294"/>
      <c r="R21" s="1294"/>
      <c r="S21" s="665"/>
      <c r="AN21" s="1559"/>
      <c r="AO21" s="1559"/>
      <c r="AP21" s="1559"/>
      <c r="AQ21" s="1559"/>
      <c r="AR21" s="1559"/>
      <c r="AS21" s="1289">
        <v>0</v>
      </c>
    </row>
    <row r="22" spans="1:45" s="1289" customFormat="1" ht="14.25" hidden="1" customHeight="1">
      <c r="A22" s="1554"/>
      <c r="B22" s="1554"/>
      <c r="C22" s="1554"/>
      <c r="D22" s="1554"/>
      <c r="E22" s="1554"/>
      <c r="F22" s="1554"/>
      <c r="G22" s="1554"/>
      <c r="H22" s="1554"/>
      <c r="I22" s="1554"/>
      <c r="J22" s="1554"/>
      <c r="K22" s="1554"/>
      <c r="L22" s="1853"/>
      <c r="M22" s="1879"/>
      <c r="N22" s="1879"/>
      <c r="O22" s="1233" t="s">
        <v>437</v>
      </c>
      <c r="P22" s="1285"/>
      <c r="Q22" s="1294"/>
      <c r="R22" s="1294"/>
      <c r="S22" s="665"/>
      <c r="T22" s="1289" t="s">
        <v>438</v>
      </c>
      <c r="AA22" s="531" t="s">
        <v>439</v>
      </c>
      <c r="AC22" s="531" t="s">
        <v>440</v>
      </c>
      <c r="AD22" s="1289" t="s">
        <v>438</v>
      </c>
      <c r="AI22" s="531" t="s">
        <v>441</v>
      </c>
      <c r="AK22" s="531" t="s">
        <v>440</v>
      </c>
      <c r="AN22" s="1559"/>
      <c r="AO22" s="1559"/>
      <c r="AP22" s="1559"/>
      <c r="AQ22" s="1559"/>
      <c r="AR22" s="1559"/>
      <c r="AS22" s="1289">
        <v>0</v>
      </c>
    </row>
    <row r="23" spans="1:45" ht="14.25" hidden="1" customHeight="1">
      <c r="O23" s="1233"/>
      <c r="AS23" s="1554">
        <v>0</v>
      </c>
    </row>
    <row r="24" spans="1:45" ht="14.25" hidden="1" customHeight="1">
      <c r="O24" s="1233"/>
      <c r="AS24" s="1554">
        <v>0</v>
      </c>
    </row>
    <row r="25" spans="1:45" ht="14.65" customHeight="1">
      <c r="Q25" s="312"/>
      <c r="R25" s="312"/>
      <c r="S25" s="1198"/>
      <c r="T25" s="393"/>
      <c r="U25" s="393"/>
      <c r="AS25" s="1554">
        <v>14</v>
      </c>
    </row>
    <row r="26" spans="1:45" ht="14.65" customHeight="1">
      <c r="Q26" s="312"/>
      <c r="R26" s="312"/>
      <c r="S26" s="249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90"/>
      <c r="U26" s="2490"/>
      <c r="V26" s="2490"/>
      <c r="W26" s="2490"/>
      <c r="X26" s="2490"/>
      <c r="Y26" s="2490"/>
      <c r="Z26" s="2490"/>
      <c r="AA26" s="2490"/>
      <c r="AB26" s="2490"/>
      <c r="AC26" s="2490"/>
      <c r="AD26" s="2490"/>
      <c r="AE26" s="2490"/>
      <c r="AF26" s="2490"/>
      <c r="AG26" s="2490"/>
      <c r="AH26" s="2490"/>
      <c r="AI26" s="2490"/>
      <c r="AJ26" s="2490"/>
      <c r="AK26" s="1166"/>
      <c r="AS26" s="1554">
        <v>14</v>
      </c>
    </row>
    <row r="27" spans="1:45" ht="14.65" customHeight="1">
      <c r="Q27" s="312"/>
      <c r="R27" s="312"/>
      <c r="S27" s="2436" t="str">
        <f>IF(org=0,"Не определено",org)</f>
        <v>ПАО "ТГК-2"</v>
      </c>
      <c r="T27" s="2436"/>
      <c r="U27" s="2436"/>
      <c r="V27" s="2436"/>
      <c r="W27" s="2436"/>
      <c r="X27" s="2436"/>
      <c r="Y27" s="2436"/>
      <c r="Z27" s="2436"/>
      <c r="AA27" s="2436"/>
      <c r="AB27" s="2436"/>
      <c r="AC27" s="2436"/>
      <c r="AD27" s="2436"/>
      <c r="AE27" s="2436"/>
      <c r="AF27" s="2436"/>
      <c r="AG27" s="2436"/>
      <c r="AH27" s="2436"/>
      <c r="AI27" s="2436"/>
      <c r="AJ27" s="2436"/>
      <c r="AK27" s="1166"/>
      <c r="AS27" s="1554">
        <v>14</v>
      </c>
    </row>
    <row r="28" spans="1:45" ht="14.25" hidden="1" customHeight="1">
      <c r="Q28" s="312"/>
      <c r="R28" s="312"/>
      <c r="S28" s="1198"/>
      <c r="T28" s="393"/>
      <c r="U28" s="393"/>
      <c r="V28" s="259"/>
      <c r="W28" s="259"/>
      <c r="X28" s="259"/>
      <c r="Y28" s="259"/>
      <c r="Z28" s="259"/>
      <c r="AA28" s="259"/>
      <c r="AB28" s="259"/>
      <c r="AC28" s="259"/>
      <c r="AD28" s="259"/>
      <c r="AE28" s="259"/>
      <c r="AF28" s="259"/>
      <c r="AG28" s="259"/>
      <c r="AH28" s="259"/>
      <c r="AI28" s="259"/>
      <c r="AJ28" s="259"/>
      <c r="AK28" s="259"/>
      <c r="AS28" s="1554">
        <v>0</v>
      </c>
    </row>
    <row r="29" spans="1:45" s="1770" customFormat="1" ht="25.5" hidden="1" customHeight="1">
      <c r="A29" s="1171"/>
      <c r="B29" s="1171"/>
      <c r="C29" s="1171"/>
      <c r="D29" s="1171"/>
      <c r="E29" s="1171"/>
      <c r="F29" s="1171"/>
      <c r="G29" s="1171"/>
      <c r="H29" s="1171"/>
      <c r="I29" s="1171"/>
      <c r="J29" s="1171"/>
      <c r="K29" s="1171"/>
      <c r="L29" s="1303"/>
      <c r="M29" s="1171"/>
      <c r="N29" s="1171"/>
      <c r="O29" s="1171"/>
      <c r="S29" s="249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498"/>
      <c r="U29" s="1295"/>
      <c r="V29" s="2499" t="str">
        <f>IF(TITLE_NAME_OR_PR_CHANGE="",IF(TITLE_NAME_OR_PR="","",TITLE_NAME_OR_PR),TITLE_NAME_OR_PR_CHANGE)</f>
        <v/>
      </c>
      <c r="W29" s="2499"/>
      <c r="X29" s="2499"/>
      <c r="Y29" s="2499"/>
      <c r="Z29" s="2499"/>
      <c r="AA29" s="2499"/>
      <c r="AB29" s="2499"/>
      <c r="AC29" s="1558"/>
      <c r="AD29" s="2499" t="str">
        <f>IF(TITLE_NAME_OR_PR_CHANGE="",IF(TITLE_NAME_OR_PR="","",TITLE_NAME_OR_PR),TITLE_NAME_OR_PR_CHANGE)</f>
        <v/>
      </c>
      <c r="AE29" s="2499"/>
      <c r="AF29" s="2499"/>
      <c r="AG29" s="2499"/>
      <c r="AH29" s="2499"/>
      <c r="AI29" s="2499"/>
      <c r="AJ29" s="2499"/>
      <c r="AK29" s="1558"/>
      <c r="AL29" s="1558"/>
      <c r="AM29" s="217"/>
      <c r="AN29" s="304"/>
      <c r="AO29" s="304"/>
      <c r="AP29" s="304"/>
      <c r="AQ29" s="304"/>
      <c r="AR29" s="304"/>
      <c r="AS29" s="354">
        <v>0</v>
      </c>
    </row>
    <row r="30" spans="1:45" s="1770" customFormat="1" ht="18.75" hidden="1" customHeight="1">
      <c r="A30" s="1171"/>
      <c r="B30" s="1171"/>
      <c r="C30" s="1171"/>
      <c r="D30" s="1171"/>
      <c r="E30" s="1171"/>
      <c r="F30" s="1171"/>
      <c r="G30" s="1171"/>
      <c r="H30" s="1171"/>
      <c r="I30" s="1171"/>
      <c r="J30" s="1171"/>
      <c r="K30" s="1171"/>
      <c r="L30" s="1303"/>
      <c r="M30" s="1171"/>
      <c r="N30" s="1171"/>
      <c r="O30" s="1171"/>
      <c r="S30" s="2498" t="str">
        <f>"Дата документа об "&amp;IF(TITLE_DATE_PR_CHANGE="","утверждении","изменении")&amp;" тарифов"</f>
        <v>Дата документа об утверждении тарифов</v>
      </c>
      <c r="T30" s="2498"/>
      <c r="U30" s="1295"/>
      <c r="V30" s="2508" t="str">
        <f>IF(TITLE_DATE_PR_CHANGE="",IF(TITLE_DATE_PR="","",TITLE_DATE_PR),TITLE_DATE_PR_CHANGE)</f>
        <v/>
      </c>
      <c r="W30" s="2508"/>
      <c r="X30" s="2508"/>
      <c r="Y30" s="2508"/>
      <c r="Z30" s="2508"/>
      <c r="AA30" s="2508"/>
      <c r="AB30" s="2508"/>
      <c r="AC30" s="1558"/>
      <c r="AD30" s="2508" t="str">
        <f>IF(TITLE_DATE_PR_CHANGE="",IF(TITLE_DATE_PR="","",TITLE_DATE_PR),TITLE_DATE_PR_CHANGE)</f>
        <v/>
      </c>
      <c r="AE30" s="2508"/>
      <c r="AF30" s="2508"/>
      <c r="AG30" s="2508"/>
      <c r="AH30" s="2508"/>
      <c r="AI30" s="2508"/>
      <c r="AJ30" s="2508"/>
      <c r="AK30" s="1558"/>
      <c r="AL30" s="1558"/>
      <c r="AM30" s="217"/>
      <c r="AN30" s="304"/>
      <c r="AO30" s="304"/>
      <c r="AP30" s="304"/>
      <c r="AQ30" s="304"/>
      <c r="AR30" s="304"/>
      <c r="AS30" s="354">
        <v>0</v>
      </c>
    </row>
    <row r="31" spans="1:45" s="1770" customFormat="1" ht="18.75" hidden="1" customHeight="1">
      <c r="A31" s="1171"/>
      <c r="B31" s="1171"/>
      <c r="C31" s="1171"/>
      <c r="D31" s="1171"/>
      <c r="E31" s="1171"/>
      <c r="F31" s="1171"/>
      <c r="G31" s="1171"/>
      <c r="H31" s="1171"/>
      <c r="I31" s="1171"/>
      <c r="J31" s="1171"/>
      <c r="K31" s="1171"/>
      <c r="L31" s="1303"/>
      <c r="M31" s="1171"/>
      <c r="N31" s="1171"/>
      <c r="O31" s="1171"/>
      <c r="S31" s="2498" t="str">
        <f>"Номер документа об "&amp;IF(TITLE_DATE_PR_CHANGE="","утверждении","изменении")&amp;" тарифов"</f>
        <v>Номер документа об утверждении тарифов</v>
      </c>
      <c r="T31" s="2498"/>
      <c r="U31" s="1295"/>
      <c r="V31" s="2499" t="str">
        <f>IF(TITLE_NUMBER_PR_CHANGE="",IF(TITLE_NUMBER_PR="","",TITLE_NUMBER_PR),TITLE_NUMBER_PR_CHANGE)</f>
        <v/>
      </c>
      <c r="W31" s="2499"/>
      <c r="X31" s="2499"/>
      <c r="Y31" s="2499"/>
      <c r="Z31" s="2499"/>
      <c r="AA31" s="2499"/>
      <c r="AB31" s="2499"/>
      <c r="AC31" s="1558"/>
      <c r="AD31" s="2499" t="str">
        <f>IF(TITLE_NUMBER_PR_CHANGE="",IF(TITLE_NUMBER_PR="","",TITLE_NUMBER_PR),TITLE_NUMBER_PR_CHANGE)</f>
        <v/>
      </c>
      <c r="AE31" s="2499"/>
      <c r="AF31" s="2499"/>
      <c r="AG31" s="2499"/>
      <c r="AH31" s="2499"/>
      <c r="AI31" s="2499"/>
      <c r="AJ31" s="2499"/>
      <c r="AK31" s="1558"/>
      <c r="AL31" s="1558"/>
      <c r="AM31" s="217"/>
      <c r="AN31" s="304"/>
      <c r="AO31" s="304"/>
      <c r="AP31" s="304"/>
      <c r="AQ31" s="304"/>
      <c r="AR31" s="304"/>
      <c r="AS31" s="354">
        <v>0</v>
      </c>
    </row>
    <row r="32" spans="1:45" s="1770" customFormat="1" ht="18.75" hidden="1" customHeight="1">
      <c r="A32" s="1171"/>
      <c r="B32" s="1171"/>
      <c r="C32" s="1171"/>
      <c r="D32" s="1171"/>
      <c r="E32" s="1171"/>
      <c r="F32" s="1171"/>
      <c r="G32" s="1171"/>
      <c r="H32" s="1171"/>
      <c r="I32" s="1171"/>
      <c r="J32" s="1171"/>
      <c r="K32" s="1171"/>
      <c r="L32" s="1303"/>
      <c r="M32" s="1171"/>
      <c r="N32" s="1171"/>
      <c r="O32" s="1171"/>
      <c r="S32" s="2498" t="s">
        <v>43</v>
      </c>
      <c r="T32" s="2498"/>
      <c r="U32" s="1295"/>
      <c r="V32" s="2499" t="str">
        <f>IF(TITLE_IST_PUB_CHANGE="",IF(TITLE_IST_PUB="","",TITLE_IST_PUB),TITLE_IST_PUB_CHANGE)</f>
        <v/>
      </c>
      <c r="W32" s="2499"/>
      <c r="X32" s="2499"/>
      <c r="Y32" s="2499"/>
      <c r="Z32" s="2499"/>
      <c r="AA32" s="2499"/>
      <c r="AB32" s="2499"/>
      <c r="AC32" s="1558"/>
      <c r="AD32" s="2499" t="str">
        <f>IF(TITLE_IST_PUB_CHANGE="",IF(TITLE_IST_PUB="","",TITLE_IST_PUB),TITLE_IST_PUB_CHANGE)</f>
        <v/>
      </c>
      <c r="AE32" s="2499"/>
      <c r="AF32" s="2499"/>
      <c r="AG32" s="2499"/>
      <c r="AH32" s="2499"/>
      <c r="AI32" s="2499"/>
      <c r="AJ32" s="2499"/>
      <c r="AK32" s="1558"/>
      <c r="AL32" s="1558"/>
      <c r="AM32" s="217"/>
      <c r="AN32" s="304"/>
      <c r="AO32" s="304"/>
      <c r="AP32" s="304"/>
      <c r="AQ32" s="304"/>
      <c r="AR32" s="304"/>
      <c r="AS32" s="354">
        <v>0</v>
      </c>
    </row>
    <row r="33" spans="1:45" ht="14.25" hidden="1" customHeight="1">
      <c r="Q33" s="312"/>
      <c r="R33" s="312"/>
      <c r="S33" s="1198"/>
      <c r="T33" s="393"/>
      <c r="U33" s="393"/>
      <c r="V33" s="259"/>
      <c r="W33" s="259"/>
      <c r="X33" s="259"/>
      <c r="Y33" s="259"/>
      <c r="Z33" s="259"/>
      <c r="AA33" s="259"/>
      <c r="AB33" s="259"/>
      <c r="AC33" s="259"/>
      <c r="AD33" s="259"/>
      <c r="AE33" s="259"/>
      <c r="AF33" s="259"/>
      <c r="AG33" s="259"/>
      <c r="AH33" s="259"/>
      <c r="AI33" s="259"/>
      <c r="AJ33" s="259"/>
      <c r="AK33" s="259"/>
      <c r="AS33" s="1554">
        <v>0</v>
      </c>
    </row>
    <row r="34" spans="1:45" s="1770" customFormat="1" ht="18.75" hidden="1" customHeight="1">
      <c r="A34" s="1171"/>
      <c r="B34" s="1171"/>
      <c r="C34" s="1171"/>
      <c r="D34" s="1171"/>
      <c r="E34" s="1171"/>
      <c r="F34" s="1171"/>
      <c r="G34" s="1171"/>
      <c r="H34" s="1171"/>
      <c r="I34" s="1171"/>
      <c r="J34" s="1171"/>
      <c r="K34" s="1171"/>
      <c r="L34" s="1303"/>
      <c r="M34" s="1171"/>
      <c r="N34" s="1171"/>
      <c r="O34" s="1171"/>
      <c r="S34" s="2498" t="str">
        <f>"Дата подачи заявления об "&amp;IF(TITLE_DATE_PR_CHANGE="","утверждении","изменении")&amp;" тарифов"</f>
        <v>Дата подачи заявления об утверждении тарифов</v>
      </c>
      <c r="T34" s="2498"/>
      <c r="U34" s="1295"/>
      <c r="V34" s="2508" t="str">
        <f>IF(TITLE_DATE_PR_CHANGE="",IF(TITLE_DATE_PR="","",TITLE_DATE_PR),TITLE_DATE_PR_CHANGE)</f>
        <v/>
      </c>
      <c r="W34" s="2508"/>
      <c r="X34" s="2508"/>
      <c r="Y34" s="2508"/>
      <c r="Z34" s="2508"/>
      <c r="AA34" s="2508"/>
      <c r="AB34" s="2508"/>
      <c r="AC34" s="1558"/>
      <c r="AD34" s="2508" t="str">
        <f>IF(TITLE_DATE_PR_CHANGE="",IF(TITLE_DATE_PR="","",TITLE_DATE_PR),TITLE_DATE_PR_CHANGE)</f>
        <v/>
      </c>
      <c r="AE34" s="2508"/>
      <c r="AF34" s="2508"/>
      <c r="AG34" s="2508"/>
      <c r="AH34" s="2508"/>
      <c r="AI34" s="2508"/>
      <c r="AJ34" s="2508"/>
      <c r="AK34" s="1558"/>
      <c r="AL34" s="1558"/>
      <c r="AM34" s="217"/>
      <c r="AN34" s="304"/>
      <c r="AO34" s="304"/>
      <c r="AP34" s="304"/>
      <c r="AQ34" s="304"/>
      <c r="AR34" s="304"/>
      <c r="AS34" s="354">
        <v>0</v>
      </c>
    </row>
    <row r="35" spans="1:45" s="1770" customFormat="1" ht="18.75" hidden="1" customHeight="1">
      <c r="A35" s="1171"/>
      <c r="B35" s="1171"/>
      <c r="C35" s="1171"/>
      <c r="D35" s="1171"/>
      <c r="E35" s="1171"/>
      <c r="F35" s="1171"/>
      <c r="G35" s="1171"/>
      <c r="H35" s="1171"/>
      <c r="I35" s="1171"/>
      <c r="J35" s="1171"/>
      <c r="K35" s="1171"/>
      <c r="L35" s="1303"/>
      <c r="M35" s="1171"/>
      <c r="N35" s="1171"/>
      <c r="O35" s="1171"/>
      <c r="S35" s="2498" t="str">
        <f>"Номер подачи заявления об "&amp;IF(TITLE_DATE_PR_CHANGE="","утверждении","изменении")&amp;" тарифов"</f>
        <v>Номер подачи заявления об утверждении тарифов</v>
      </c>
      <c r="T35" s="2498"/>
      <c r="U35" s="1295"/>
      <c r="V35" s="2499" t="str">
        <f>IF(TITLE_NUMBER_PR_CHANGE="",IF(TITLE_NUMBER_PR="","",TITLE_NUMBER_PR),TITLE_NUMBER_PR_CHANGE)</f>
        <v/>
      </c>
      <c r="W35" s="2499"/>
      <c r="X35" s="2499"/>
      <c r="Y35" s="2499"/>
      <c r="Z35" s="2499"/>
      <c r="AA35" s="2499"/>
      <c r="AB35" s="2499"/>
      <c r="AC35" s="1558"/>
      <c r="AD35" s="2499" t="str">
        <f>IF(TITLE_NUMBER_PR_CHANGE="",IF(TITLE_NUMBER_PR="","",TITLE_NUMBER_PR),TITLE_NUMBER_PR_CHANGE)</f>
        <v/>
      </c>
      <c r="AE35" s="2499"/>
      <c r="AF35" s="2499"/>
      <c r="AG35" s="2499"/>
      <c r="AH35" s="2499"/>
      <c r="AI35" s="2499"/>
      <c r="AJ35" s="2499"/>
      <c r="AK35" s="1558"/>
      <c r="AL35" s="1558"/>
      <c r="AM35" s="217"/>
      <c r="AN35" s="304"/>
      <c r="AO35" s="304"/>
      <c r="AP35" s="304"/>
      <c r="AQ35" s="304"/>
      <c r="AR35" s="304"/>
      <c r="AS35" s="354">
        <v>0</v>
      </c>
    </row>
    <row r="36" spans="1:45" s="1770" customFormat="1" ht="0" hidden="1" customHeight="1">
      <c r="A36" s="1171"/>
      <c r="B36" s="1171"/>
      <c r="C36" s="1171"/>
      <c r="D36" s="1171"/>
      <c r="E36" s="1171"/>
      <c r="F36" s="1171"/>
      <c r="G36" s="1171"/>
      <c r="H36" s="1171"/>
      <c r="I36" s="1171"/>
      <c r="J36" s="1171"/>
      <c r="K36" s="1171"/>
      <c r="L36" s="1303"/>
      <c r="M36" s="1171"/>
      <c r="N36" s="1171"/>
      <c r="O36" s="1171"/>
      <c r="S36" s="1558"/>
      <c r="T36" s="1558"/>
      <c r="U36" s="1884"/>
      <c r="V36" s="1558"/>
      <c r="W36" s="1558"/>
      <c r="X36" s="1558"/>
      <c r="Y36" s="1558"/>
      <c r="Z36" s="1558"/>
      <c r="AA36" s="1558"/>
      <c r="AB36" s="1558"/>
      <c r="AC36" s="1565" t="s">
        <v>442</v>
      </c>
      <c r="AD36" s="1558"/>
      <c r="AE36" s="1558"/>
      <c r="AF36" s="1558"/>
      <c r="AG36" s="1558"/>
      <c r="AH36" s="1558"/>
      <c r="AI36" s="1558"/>
      <c r="AJ36" s="1558"/>
      <c r="AK36" s="1565" t="s">
        <v>442</v>
      </c>
      <c r="AN36" s="304"/>
      <c r="AO36" s="304"/>
      <c r="AP36" s="304"/>
      <c r="AQ36" s="304"/>
      <c r="AR36" s="304"/>
      <c r="AS36" s="354">
        <v>0</v>
      </c>
    </row>
    <row r="37" spans="1:45" ht="14.65" customHeight="1">
      <c r="Q37" s="312"/>
      <c r="R37" s="312"/>
      <c r="S37" s="1198"/>
      <c r="T37" s="393"/>
      <c r="U37" s="1167"/>
      <c r="V37" s="2500"/>
      <c r="W37" s="2500"/>
      <c r="X37" s="2500"/>
      <c r="Y37" s="2500"/>
      <c r="Z37" s="2500"/>
      <c r="AA37" s="2500"/>
      <c r="AB37" s="2500"/>
      <c r="AC37" s="2500"/>
      <c r="AD37" s="2500"/>
      <c r="AE37" s="2500"/>
      <c r="AF37" s="2500"/>
      <c r="AG37" s="2500"/>
      <c r="AH37" s="2500"/>
      <c r="AI37" s="2500"/>
      <c r="AJ37" s="2500"/>
      <c r="AK37" s="2500"/>
      <c r="AS37" s="1554">
        <v>14</v>
      </c>
    </row>
    <row r="38" spans="1:45" ht="14.65" customHeight="1">
      <c r="Q38" s="312"/>
      <c r="R38" s="312"/>
      <c r="S38" s="2371" t="s">
        <v>319</v>
      </c>
      <c r="T38" s="2371"/>
      <c r="U38" s="2371"/>
      <c r="V38" s="2371"/>
      <c r="W38" s="2371"/>
      <c r="X38" s="2371"/>
      <c r="Y38" s="2371"/>
      <c r="Z38" s="2371"/>
      <c r="AA38" s="2371"/>
      <c r="AB38" s="2371"/>
      <c r="AC38" s="2371"/>
      <c r="AD38" s="2371"/>
      <c r="AE38" s="2371"/>
      <c r="AF38" s="2371"/>
      <c r="AG38" s="2371"/>
      <c r="AH38" s="2371"/>
      <c r="AI38" s="2371"/>
      <c r="AJ38" s="2371"/>
      <c r="AK38" s="2371"/>
      <c r="AL38" s="2371"/>
      <c r="AM38" s="2371" t="s">
        <v>320</v>
      </c>
      <c r="AS38" s="1554">
        <v>14</v>
      </c>
    </row>
    <row r="39" spans="1:45" ht="14.65" customHeight="1">
      <c r="Q39" s="312"/>
      <c r="R39" s="312"/>
      <c r="S39" s="2514" t="s">
        <v>89</v>
      </c>
      <c r="T39" s="2466" t="s">
        <v>443</v>
      </c>
      <c r="U39" s="274"/>
      <c r="V39" s="2515" t="s">
        <v>444</v>
      </c>
      <c r="W39" s="2516"/>
      <c r="X39" s="2516"/>
      <c r="Y39" s="2516"/>
      <c r="Z39" s="2516"/>
      <c r="AA39" s="2516"/>
      <c r="AB39" s="2517"/>
      <c r="AC39" s="2518" t="s">
        <v>445</v>
      </c>
      <c r="AD39" s="2515" t="s">
        <v>444</v>
      </c>
      <c r="AE39" s="2516"/>
      <c r="AF39" s="2516"/>
      <c r="AG39" s="2516"/>
      <c r="AH39" s="2516"/>
      <c r="AI39" s="2516"/>
      <c r="AJ39" s="2517"/>
      <c r="AK39" s="2518" t="s">
        <v>446</v>
      </c>
      <c r="AL39" s="2521" t="s">
        <v>447</v>
      </c>
      <c r="AM39" s="2371"/>
      <c r="AS39" s="1554">
        <v>14</v>
      </c>
    </row>
    <row r="40" spans="1:45" ht="35.65" customHeight="1">
      <c r="Q40" s="312"/>
      <c r="R40" s="312"/>
      <c r="S40" s="2514"/>
      <c r="T40" s="2466"/>
      <c r="U40" s="958"/>
      <c r="V40" s="2435" t="s">
        <v>448</v>
      </c>
      <c r="W40" s="2524" t="s">
        <v>449</v>
      </c>
      <c r="X40" s="2350" t="s">
        <v>450</v>
      </c>
      <c r="Y40" s="2349"/>
      <c r="Z40" s="2350" t="s">
        <v>464</v>
      </c>
      <c r="AA40" s="2356"/>
      <c r="AB40" s="2349"/>
      <c r="AC40" s="2519"/>
      <c r="AD40" s="2435" t="s">
        <v>448</v>
      </c>
      <c r="AE40" s="2524" t="s">
        <v>449</v>
      </c>
      <c r="AF40" s="2350" t="s">
        <v>450</v>
      </c>
      <c r="AG40" s="2349"/>
      <c r="AH40" s="2350" t="s">
        <v>451</v>
      </c>
      <c r="AI40" s="2356"/>
      <c r="AJ40" s="2349"/>
      <c r="AK40" s="2519"/>
      <c r="AL40" s="2522"/>
      <c r="AM40" s="2371"/>
      <c r="AS40" s="1554">
        <v>34</v>
      </c>
    </row>
    <row r="41" spans="1:45" ht="35.65" customHeight="1">
      <c r="A41" s="1189"/>
      <c r="B41" s="1189" t="s">
        <v>156</v>
      </c>
      <c r="C41" s="1189" t="s">
        <v>157</v>
      </c>
      <c r="D41" s="1189" t="s">
        <v>158</v>
      </c>
      <c r="E41" s="1233" t="s">
        <v>452</v>
      </c>
      <c r="F41" s="1233" t="s">
        <v>453</v>
      </c>
      <c r="G41" s="1233" t="s">
        <v>454</v>
      </c>
      <c r="H41" s="1233" t="s">
        <v>455</v>
      </c>
      <c r="I41" s="1233" t="s">
        <v>456</v>
      </c>
      <c r="J41" s="1233" t="s">
        <v>457</v>
      </c>
      <c r="K41" s="1233" t="s">
        <v>458</v>
      </c>
      <c r="L41" s="1233" t="s">
        <v>437</v>
      </c>
      <c r="Q41" s="312"/>
      <c r="R41" s="312"/>
      <c r="S41" s="2514"/>
      <c r="T41" s="2466"/>
      <c r="U41" s="239"/>
      <c r="V41" s="2485"/>
      <c r="W41" s="2525"/>
      <c r="X41" s="1852" t="s">
        <v>459</v>
      </c>
      <c r="Y41" s="1852" t="s">
        <v>460</v>
      </c>
      <c r="Z41" s="1852" t="s">
        <v>461</v>
      </c>
      <c r="AA41" s="2474" t="s">
        <v>462</v>
      </c>
      <c r="AB41" s="2476"/>
      <c r="AC41" s="2520"/>
      <c r="AD41" s="2485"/>
      <c r="AE41" s="2525"/>
      <c r="AF41" s="1852" t="s">
        <v>459</v>
      </c>
      <c r="AG41" s="1852" t="s">
        <v>460</v>
      </c>
      <c r="AH41" s="1852" t="s">
        <v>461</v>
      </c>
      <c r="AI41" s="2474" t="s">
        <v>462</v>
      </c>
      <c r="AJ41" s="2476"/>
      <c r="AK41" s="2520"/>
      <c r="AL41" s="2523"/>
      <c r="AM41" s="2371"/>
      <c r="AS41" s="1554">
        <v>34</v>
      </c>
    </row>
    <row r="42" spans="1:45" s="1564" customFormat="1" ht="11.25" hidden="1" customHeight="1">
      <c r="A42" s="1189"/>
      <c r="B42" s="1189"/>
      <c r="C42" s="1189"/>
      <c r="D42" s="1189"/>
      <c r="E42" s="1189"/>
      <c r="F42" s="1189"/>
      <c r="G42" s="1189"/>
      <c r="H42" s="1189"/>
      <c r="I42" s="1189"/>
      <c r="J42" s="1189"/>
      <c r="K42" s="1189"/>
      <c r="L42" s="1233"/>
      <c r="M42" s="1879"/>
      <c r="N42" s="1879"/>
      <c r="O42" s="1879"/>
      <c r="P42" s="1169"/>
      <c r="Q42" s="1170"/>
      <c r="R42" s="1177">
        <v>1</v>
      </c>
      <c r="S42" s="1200" t="s">
        <v>100</v>
      </c>
      <c r="T42" s="1178" t="s">
        <v>103</v>
      </c>
      <c r="U42" s="1168" t="str">
        <f ca="1">OFFSET(U42,0,-1)</f>
        <v>2</v>
      </c>
      <c r="V42" s="1870">
        <f ca="1">OFFSET(V42,0,-1)+1</f>
        <v>3</v>
      </c>
      <c r="W42" s="1870"/>
      <c r="X42" s="1870">
        <f ca="1">OFFSET(X42,0,-1)+1</f>
        <v>1</v>
      </c>
      <c r="Y42" s="1870">
        <f ca="1">OFFSET(Y42,0,-1)+1</f>
        <v>2</v>
      </c>
      <c r="Z42" s="1870">
        <f ca="1">OFFSET(Z42,0,-1)+1</f>
        <v>3</v>
      </c>
      <c r="AA42" s="2513">
        <f ca="1">OFFSET(AA42,0,-1)+1</f>
        <v>4</v>
      </c>
      <c r="AB42" s="2513"/>
      <c r="AC42" s="1870">
        <f ca="1">OFFSET(AC42,0,-2)+1</f>
        <v>5</v>
      </c>
      <c r="AD42" s="1870">
        <f ca="1">OFFSET(AD42,0,-1)+1</f>
        <v>6</v>
      </c>
      <c r="AE42" s="1870"/>
      <c r="AF42" s="1870">
        <f ca="1">OFFSET(AF42,0,-1)+1</f>
        <v>1</v>
      </c>
      <c r="AG42" s="1870">
        <f ca="1">OFFSET(AG42,0,-1)+1</f>
        <v>2</v>
      </c>
      <c r="AH42" s="1870">
        <f ca="1">OFFSET(AH42,0,-1)+1</f>
        <v>3</v>
      </c>
      <c r="AI42" s="2513">
        <f ca="1">OFFSET(AI42,0,-1)+1</f>
        <v>4</v>
      </c>
      <c r="AJ42" s="2513"/>
      <c r="AK42" s="1870">
        <f ca="1">OFFSET(AK42,0,-2)+1</f>
        <v>5</v>
      </c>
      <c r="AL42" s="1168">
        <f ca="1">OFFSET(AL42,0,-1)</f>
        <v>5</v>
      </c>
      <c r="AM42" s="1870">
        <f ca="1">OFFSET(AM42,0,-1)+1</f>
        <v>6</v>
      </c>
      <c r="AN42" s="1559"/>
      <c r="AO42" s="1559"/>
      <c r="AP42" s="1559"/>
      <c r="AQ42" s="1559"/>
      <c r="AR42" s="1559"/>
      <c r="AS42" s="1564">
        <v>0</v>
      </c>
    </row>
    <row r="43" spans="1:45" ht="21.95" customHeight="1">
      <c r="A43" s="1190" t="s">
        <v>231</v>
      </c>
      <c r="B43" s="1190"/>
      <c r="C43" s="1190"/>
      <c r="D43" s="1190"/>
      <c r="E43" s="2530">
        <v>1</v>
      </c>
      <c r="F43" s="1190"/>
      <c r="G43" s="1190"/>
      <c r="H43" s="1190"/>
      <c r="I43" s="1190"/>
      <c r="J43" s="1190"/>
      <c r="K43" s="1190"/>
      <c r="L43" s="1233"/>
      <c r="M43" s="1533"/>
      <c r="N43" s="1533"/>
      <c r="O43" s="1533"/>
      <c r="P43" s="1513"/>
      <c r="Q43" s="296"/>
      <c r="R43" s="291"/>
      <c r="S43" s="1872">
        <f>INDEX(PT_DIFFERENTIATION_NUM_NTAR,MATCH(A43,PT_DIFFERENTIATION_NTAR_ID,0))</f>
        <v>0</v>
      </c>
      <c r="T43" s="1448" t="s">
        <v>144</v>
      </c>
      <c r="U43" s="237"/>
      <c r="V43" s="2492"/>
      <c r="W43" s="2493"/>
      <c r="X43" s="2493"/>
      <c r="Y43" s="2493"/>
      <c r="Z43" s="2493"/>
      <c r="AA43" s="2493"/>
      <c r="AB43" s="2493"/>
      <c r="AC43" s="2494"/>
      <c r="AD43" s="2492" t="str">
        <f>INDEX(PT_DIFFERENTIATION_NTAR,MATCH(A43,PT_DIFFERENTIATION_NTAR_ID,0))</f>
        <v/>
      </c>
      <c r="AE43" s="2493"/>
      <c r="AF43" s="2493"/>
      <c r="AG43" s="2493"/>
      <c r="AH43" s="2493"/>
      <c r="AI43" s="2493"/>
      <c r="AJ43" s="2493"/>
      <c r="AK43" s="2493"/>
      <c r="AL43" s="2494"/>
      <c r="AM43" s="118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7"/>
      <c r="AP43" s="1547" t="str">
        <f t="shared" ref="AP43:AP57" si="1">IF(T43="","",T43)</f>
        <v>Наименование тарифа</v>
      </c>
      <c r="AQ43" s="1547"/>
      <c r="AR43" s="1547"/>
      <c r="AS43" s="1554">
        <v>21</v>
      </c>
    </row>
    <row r="44" spans="1:45" ht="21.95" customHeight="1">
      <c r="A44" s="1190" t="s">
        <v>231</v>
      </c>
      <c r="B44" s="1190" t="s">
        <v>232</v>
      </c>
      <c r="C44" s="1190"/>
      <c r="D44" s="1190"/>
      <c r="E44" s="2531"/>
      <c r="F44" s="2530">
        <v>1</v>
      </c>
      <c r="G44" s="1190"/>
      <c r="H44" s="1190"/>
      <c r="I44" s="1190"/>
      <c r="J44" s="1190"/>
      <c r="K44" s="1190"/>
      <c r="L44" s="1233"/>
      <c r="M44" s="1533"/>
      <c r="N44" s="1533"/>
      <c r="O44" s="1533"/>
      <c r="P44" s="1854"/>
      <c r="Q44" s="288"/>
      <c r="R44" s="289"/>
      <c r="S44" s="1872" t="str">
        <f>INDEX(PT_DIFFERENTIATION_NUM_TER,MATCH(B44,PT_DIFFERENTIATION_TER_ID,0))</f>
        <v>.</v>
      </c>
      <c r="T44" s="1445" t="s">
        <v>416</v>
      </c>
      <c r="U44" s="237"/>
      <c r="V44" s="2492"/>
      <c r="W44" s="2493"/>
      <c r="X44" s="2493"/>
      <c r="Y44" s="2493"/>
      <c r="Z44" s="2493"/>
      <c r="AA44" s="2493"/>
      <c r="AB44" s="2493"/>
      <c r="AC44" s="2494"/>
      <c r="AD44" s="2492" t="str">
        <f>INDEX(PT_DIFFERENTIATION_TER,MATCH(B44,PT_DIFFERENTIATION_TER_ID,0))</f>
        <v/>
      </c>
      <c r="AE44" s="2493"/>
      <c r="AF44" s="2493"/>
      <c r="AG44" s="2493"/>
      <c r="AH44" s="2493"/>
      <c r="AI44" s="2493"/>
      <c r="AJ44" s="2493"/>
      <c r="AK44" s="2493"/>
      <c r="AL44" s="2494"/>
      <c r="AM44" s="1181" t="s">
        <v>417</v>
      </c>
      <c r="AO44" s="1547"/>
      <c r="AP44" s="1547" t="str">
        <f t="shared" si="1"/>
        <v>Территория действия тарифа</v>
      </c>
      <c r="AQ44" s="1547"/>
      <c r="AR44" s="1547"/>
      <c r="AS44" s="1554">
        <v>21</v>
      </c>
    </row>
    <row r="45" spans="1:45" ht="24" customHeight="1">
      <c r="A45" s="1190" t="s">
        <v>231</v>
      </c>
      <c r="B45" s="1190" t="s">
        <v>232</v>
      </c>
      <c r="C45" s="1190" t="s">
        <v>233</v>
      </c>
      <c r="D45" s="1190"/>
      <c r="E45" s="2531"/>
      <c r="F45" s="2531"/>
      <c r="G45" s="2530">
        <v>1</v>
      </c>
      <c r="H45" s="1190"/>
      <c r="I45" s="1190"/>
      <c r="J45" s="1190"/>
      <c r="K45" s="1190"/>
      <c r="L45" s="1233"/>
      <c r="M45" s="1533"/>
      <c r="N45" s="1533"/>
      <c r="O45" s="1533"/>
      <c r="P45" s="290"/>
      <c r="Q45" s="288"/>
      <c r="R45" s="289"/>
      <c r="S45" s="1872" t="str">
        <f>INDEX(PT_DIFFERENTIATION_NUM_CS,MATCH(C45,PT_DIFFERENTIATION_CS_ID,0))</f>
        <v>..</v>
      </c>
      <c r="T45" s="246" t="s">
        <v>418</v>
      </c>
      <c r="U45" s="237"/>
      <c r="V45" s="2492"/>
      <c r="W45" s="2493"/>
      <c r="X45" s="2493"/>
      <c r="Y45" s="2493"/>
      <c r="Z45" s="2493"/>
      <c r="AA45" s="2493"/>
      <c r="AB45" s="2493"/>
      <c r="AC45" s="2494"/>
      <c r="AD45" s="2492" t="str">
        <f>INDEX(PT_DIFFERENTIATION_CS,MATCH(C45,PT_DIFFERENTIATION_CS_ID,0))</f>
        <v/>
      </c>
      <c r="AE45" s="2493"/>
      <c r="AF45" s="2493"/>
      <c r="AG45" s="2493"/>
      <c r="AH45" s="2493"/>
      <c r="AI45" s="2493"/>
      <c r="AJ45" s="2493"/>
      <c r="AK45" s="2493"/>
      <c r="AL45" s="2494"/>
      <c r="AM45" s="1181" t="s">
        <v>419</v>
      </c>
      <c r="AO45" s="1547"/>
      <c r="AP45" s="1547" t="str">
        <f t="shared" si="1"/>
        <v xml:space="preserve">Наименование системы теплоснабжения </v>
      </c>
      <c r="AQ45" s="1547"/>
      <c r="AR45" s="1547"/>
      <c r="AS45" s="1554">
        <v>23</v>
      </c>
    </row>
    <row r="46" spans="1:45" ht="21.95" customHeight="1">
      <c r="A46" s="1190" t="s">
        <v>231</v>
      </c>
      <c r="B46" s="1190" t="s">
        <v>232</v>
      </c>
      <c r="C46" s="1190" t="s">
        <v>233</v>
      </c>
      <c r="D46" s="1190" t="s">
        <v>234</v>
      </c>
      <c r="E46" s="2531"/>
      <c r="F46" s="2531"/>
      <c r="G46" s="2531"/>
      <c r="H46" s="2530">
        <v>1</v>
      </c>
      <c r="I46" s="1190"/>
      <c r="J46" s="1190"/>
      <c r="K46" s="1190"/>
      <c r="L46" s="1233"/>
      <c r="M46" s="1533"/>
      <c r="N46" s="1533"/>
      <c r="O46" s="1533"/>
      <c r="P46" s="290"/>
      <c r="Q46" s="288"/>
      <c r="R46" s="289"/>
      <c r="S46" s="1872" t="str">
        <f>INDEX(PT_DIFFERENTIATION_NUM_IST_TE,MATCH(D46,PT_DIFFERENTIATION_IST_TE_ID,0))</f>
        <v>...</v>
      </c>
      <c r="T46" s="247" t="s">
        <v>420</v>
      </c>
      <c r="U46" s="237"/>
      <c r="V46" s="2492"/>
      <c r="W46" s="2493"/>
      <c r="X46" s="2493"/>
      <c r="Y46" s="2493"/>
      <c r="Z46" s="2493"/>
      <c r="AA46" s="2493"/>
      <c r="AB46" s="2493"/>
      <c r="AC46" s="2494"/>
      <c r="AD46" s="2492" t="str">
        <f>INDEX(PT_DIFFERENTIATION_IST_TE,MATCH(D46,PT_DIFFERENTIATION_IST_TE_ID,0))</f>
        <v/>
      </c>
      <c r="AE46" s="2493"/>
      <c r="AF46" s="2493"/>
      <c r="AG46" s="2493"/>
      <c r="AH46" s="2493"/>
      <c r="AI46" s="2493"/>
      <c r="AJ46" s="2493"/>
      <c r="AK46" s="2493"/>
      <c r="AL46" s="2494"/>
      <c r="AM46" s="1181" t="s">
        <v>421</v>
      </c>
      <c r="AO46" s="1547"/>
      <c r="AP46" s="1547" t="str">
        <f t="shared" si="1"/>
        <v xml:space="preserve">Источник тепловой энергии  </v>
      </c>
      <c r="AQ46" s="1547"/>
      <c r="AR46" s="1547"/>
      <c r="AS46" s="1554">
        <v>21</v>
      </c>
    </row>
    <row r="47" spans="1:45" ht="49.5" customHeight="1">
      <c r="A47" s="1190" t="s">
        <v>231</v>
      </c>
      <c r="B47" s="1190" t="s">
        <v>232</v>
      </c>
      <c r="C47" s="1190" t="s">
        <v>233</v>
      </c>
      <c r="D47" s="1190" t="s">
        <v>234</v>
      </c>
      <c r="E47" s="2531"/>
      <c r="F47" s="2531"/>
      <c r="G47" s="2531"/>
      <c r="H47" s="2531"/>
      <c r="I47" s="2371" t="str">
        <f>S46&amp;".1"</f>
        <v>....1</v>
      </c>
      <c r="J47" s="1190"/>
      <c r="K47" s="1190"/>
      <c r="L47" s="1233" t="s">
        <v>422</v>
      </c>
      <c r="P47" s="2505">
        <v>1</v>
      </c>
      <c r="Q47" s="1868"/>
      <c r="R47" s="292"/>
      <c r="S47" s="1872" t="str">
        <f>$I47</f>
        <v>....1</v>
      </c>
      <c r="T47" s="222" t="s">
        <v>423</v>
      </c>
      <c r="U47" s="237"/>
      <c r="V47" s="2495"/>
      <c r="W47" s="2496"/>
      <c r="X47" s="2496"/>
      <c r="Y47" s="2496"/>
      <c r="Z47" s="2496"/>
      <c r="AA47" s="2496"/>
      <c r="AB47" s="2496"/>
      <c r="AC47" s="2497"/>
      <c r="AD47" s="2495"/>
      <c r="AE47" s="2496"/>
      <c r="AF47" s="2496"/>
      <c r="AG47" s="2496"/>
      <c r="AH47" s="2496"/>
      <c r="AI47" s="2496"/>
      <c r="AJ47" s="2496"/>
      <c r="AK47" s="2496"/>
      <c r="AL47" s="2497"/>
      <c r="AM47" s="1181" t="s">
        <v>424</v>
      </c>
      <c r="AO47" s="1547"/>
      <c r="AP47" s="1547" t="str">
        <f t="shared" si="1"/>
        <v>Схема подключения теплопотребляющей установки к коллектору источника тепловой энергии</v>
      </c>
      <c r="AQ47" s="1547"/>
      <c r="AR47" s="1547"/>
      <c r="AS47" s="1554">
        <v>47</v>
      </c>
    </row>
    <row r="48" spans="1:45" ht="21.95" customHeight="1">
      <c r="A48" s="1190" t="s">
        <v>231</v>
      </c>
      <c r="B48" s="1190" t="s">
        <v>232</v>
      </c>
      <c r="C48" s="1190" t="s">
        <v>233</v>
      </c>
      <c r="D48" s="1190" t="s">
        <v>234</v>
      </c>
      <c r="E48" s="2531"/>
      <c r="F48" s="2531"/>
      <c r="G48" s="2531"/>
      <c r="H48" s="2531"/>
      <c r="I48" s="2350"/>
      <c r="J48" s="2371" t="str">
        <f>I47&amp;".1"</f>
        <v>....1.1</v>
      </c>
      <c r="K48" s="1190"/>
      <c r="L48" s="1233" t="s">
        <v>425</v>
      </c>
      <c r="P48" s="2505"/>
      <c r="Q48" s="2505">
        <v>1</v>
      </c>
      <c r="R48" s="293"/>
      <c r="S48" s="1872" t="str">
        <f>$J48</f>
        <v>....1.1</v>
      </c>
      <c r="T48" s="223" t="s">
        <v>426</v>
      </c>
      <c r="U48" s="237"/>
      <c r="V48" s="2495"/>
      <c r="W48" s="2496"/>
      <c r="X48" s="2496"/>
      <c r="Y48" s="2496"/>
      <c r="Z48" s="2496"/>
      <c r="AA48" s="2496"/>
      <c r="AB48" s="2496"/>
      <c r="AC48" s="2497"/>
      <c r="AD48" s="2495"/>
      <c r="AE48" s="2496"/>
      <c r="AF48" s="2496"/>
      <c r="AG48" s="2496"/>
      <c r="AH48" s="2496"/>
      <c r="AI48" s="2496"/>
      <c r="AJ48" s="2496"/>
      <c r="AK48" s="2496"/>
      <c r="AL48" s="2497"/>
      <c r="AM48" s="1181" t="s">
        <v>427</v>
      </c>
      <c r="AO48" s="1547"/>
      <c r="AP48" s="1547" t="str">
        <f t="shared" si="1"/>
        <v>Группа потребителей</v>
      </c>
      <c r="AQ48" s="1547"/>
      <c r="AR48" s="1547"/>
      <c r="AS48" s="1554">
        <v>21</v>
      </c>
    </row>
    <row r="49" spans="1:45" ht="21.95" customHeight="1">
      <c r="A49" s="1190" t="s">
        <v>231</v>
      </c>
      <c r="B49" s="1190" t="s">
        <v>232</v>
      </c>
      <c r="C49" s="1190" t="s">
        <v>233</v>
      </c>
      <c r="D49" s="1190" t="s">
        <v>234</v>
      </c>
      <c r="E49" s="2531"/>
      <c r="F49" s="2531"/>
      <c r="G49" s="2531"/>
      <c r="H49" s="2531"/>
      <c r="I49" s="2350"/>
      <c r="J49" s="2350"/>
      <c r="K49" s="2371" t="str">
        <f>J48&amp;".1"</f>
        <v>....1.1.1</v>
      </c>
      <c r="L49" s="1233" t="s">
        <v>428</v>
      </c>
      <c r="P49" s="2505"/>
      <c r="Q49" s="2505"/>
      <c r="R49" s="293">
        <v>1</v>
      </c>
      <c r="S49" s="1872" t="str">
        <f>$K49</f>
        <v>....1.1.1</v>
      </c>
      <c r="T49" s="1270"/>
      <c r="U49" s="237"/>
      <c r="V49" s="686"/>
      <c r="W49" s="262"/>
      <c r="X49" s="686"/>
      <c r="Y49" s="1180"/>
      <c r="Z49" s="2509"/>
      <c r="AA49" s="2360" t="s">
        <v>63</v>
      </c>
      <c r="AB49" s="2509"/>
      <c r="AC49" s="2360" t="s">
        <v>63</v>
      </c>
      <c r="AD49" s="686"/>
      <c r="AE49" s="262"/>
      <c r="AF49" s="686"/>
      <c r="AG49" s="1180"/>
      <c r="AH49" s="2509"/>
      <c r="AI49" s="2360" t="s">
        <v>63</v>
      </c>
      <c r="AJ49" s="2528"/>
      <c r="AK49" s="2360" t="s">
        <v>63</v>
      </c>
      <c r="AL49" s="1271"/>
      <c r="AM49" s="2501" t="s">
        <v>429</v>
      </c>
      <c r="AN49" s="1559" t="e">
        <f ca="1">STRCHECKDATE(V50:AL50)</f>
        <v>#NAME?</v>
      </c>
      <c r="AO49" s="1547"/>
      <c r="AP49" s="1547" t="str">
        <f t="shared" si="1"/>
        <v/>
      </c>
      <c r="AQ49" s="1547"/>
      <c r="AR49" s="1547"/>
      <c r="AS49" s="1554">
        <v>21</v>
      </c>
    </row>
    <row r="50" spans="1:45" ht="1.1499999999999999" customHeight="1">
      <c r="A50" s="1190" t="s">
        <v>231</v>
      </c>
      <c r="B50" s="1190" t="s">
        <v>232</v>
      </c>
      <c r="C50" s="1190" t="s">
        <v>233</v>
      </c>
      <c r="D50" s="1190" t="s">
        <v>234</v>
      </c>
      <c r="E50" s="2531"/>
      <c r="F50" s="2531"/>
      <c r="G50" s="2531"/>
      <c r="H50" s="2531"/>
      <c r="I50" s="2350"/>
      <c r="J50" s="2350"/>
      <c r="K50" s="2371"/>
      <c r="L50" s="1233"/>
      <c r="P50" s="2505"/>
      <c r="Q50" s="2505"/>
      <c r="R50" s="293"/>
      <c r="S50" s="1881"/>
      <c r="T50" s="237"/>
      <c r="U50" s="237"/>
      <c r="V50" s="262"/>
      <c r="W50" s="262"/>
      <c r="X50" s="262"/>
      <c r="Y50" s="265" t="str">
        <f>Z49&amp;"-"&amp;AB49</f>
        <v>-</v>
      </c>
      <c r="Z50" s="2510"/>
      <c r="AA50" s="2360"/>
      <c r="AB50" s="2510"/>
      <c r="AC50" s="2360"/>
      <c r="AD50" s="262"/>
      <c r="AE50" s="262"/>
      <c r="AF50" s="262"/>
      <c r="AG50" s="265" t="str">
        <f>AH49&amp;"-"&amp;AJ49</f>
        <v>-</v>
      </c>
      <c r="AH50" s="2510"/>
      <c r="AI50" s="2360"/>
      <c r="AJ50" s="2529"/>
      <c r="AK50" s="2360"/>
      <c r="AL50" s="1272"/>
      <c r="AM50" s="2502"/>
      <c r="AO50" s="1547"/>
      <c r="AP50" s="1547" t="str">
        <f t="shared" si="1"/>
        <v/>
      </c>
      <c r="AQ50" s="1547"/>
      <c r="AR50" s="1547"/>
      <c r="AS50" s="1554">
        <v>1</v>
      </c>
    </row>
    <row r="51" spans="1:45" ht="11.45" customHeight="1">
      <c r="A51" s="1190" t="s">
        <v>231</v>
      </c>
      <c r="B51" s="1190" t="s">
        <v>232</v>
      </c>
      <c r="C51" s="1190" t="s">
        <v>233</v>
      </c>
      <c r="D51" s="1190" t="s">
        <v>234</v>
      </c>
      <c r="E51" s="2531"/>
      <c r="F51" s="2531"/>
      <c r="G51" s="2531"/>
      <c r="H51" s="2531"/>
      <c r="I51" s="2350"/>
      <c r="J51" s="2371"/>
      <c r="K51" s="1190"/>
      <c r="L51" s="1233"/>
      <c r="P51" s="2505"/>
      <c r="Q51" s="2505"/>
      <c r="R51" s="292"/>
      <c r="S51" s="1201"/>
      <c r="T51" s="225" t="s">
        <v>430</v>
      </c>
      <c r="U51" s="536"/>
      <c r="V51" s="536"/>
      <c r="W51" s="536"/>
      <c r="X51" s="536"/>
      <c r="Y51" s="536"/>
      <c r="Z51" s="536"/>
      <c r="AA51" s="536"/>
      <c r="AB51" s="536"/>
      <c r="AC51" s="536"/>
      <c r="AD51" s="536"/>
      <c r="AE51" s="536"/>
      <c r="AF51" s="536"/>
      <c r="AG51" s="536"/>
      <c r="AH51" s="536"/>
      <c r="AI51" s="536"/>
      <c r="AJ51" s="536"/>
      <c r="AK51" s="536"/>
      <c r="AL51" s="261"/>
      <c r="AM51" s="2503"/>
      <c r="AO51" s="1547"/>
      <c r="AP51" s="1547" t="str">
        <f t="shared" si="1"/>
        <v>Добавить вид теплоносителя (параметры теплоносителя)</v>
      </c>
      <c r="AQ51" s="1547"/>
      <c r="AR51" s="1547"/>
      <c r="AS51" s="1554">
        <v>11</v>
      </c>
    </row>
    <row r="52" spans="1:45" ht="11.45" customHeight="1">
      <c r="A52" s="1190" t="s">
        <v>231</v>
      </c>
      <c r="B52" s="1190" t="s">
        <v>232</v>
      </c>
      <c r="C52" s="1190" t="s">
        <v>233</v>
      </c>
      <c r="D52" s="1190" t="s">
        <v>234</v>
      </c>
      <c r="E52" s="2531"/>
      <c r="F52" s="2531"/>
      <c r="G52" s="2531"/>
      <c r="H52" s="2531"/>
      <c r="I52" s="2371"/>
      <c r="J52" s="1190"/>
      <c r="K52" s="1190"/>
      <c r="L52" s="1233"/>
      <c r="P52" s="2505"/>
      <c r="Q52" s="1868"/>
      <c r="R52" s="292"/>
      <c r="S52" s="1201"/>
      <c r="T52" s="224" t="s">
        <v>431</v>
      </c>
      <c r="U52" s="536"/>
      <c r="V52" s="536"/>
      <c r="W52" s="536"/>
      <c r="X52" s="536"/>
      <c r="Y52" s="536"/>
      <c r="Z52" s="536"/>
      <c r="AA52" s="536"/>
      <c r="AB52" s="536"/>
      <c r="AC52" s="302"/>
      <c r="AD52" s="536"/>
      <c r="AE52" s="536"/>
      <c r="AF52" s="536"/>
      <c r="AG52" s="536"/>
      <c r="AH52" s="536"/>
      <c r="AI52" s="536"/>
      <c r="AJ52" s="536"/>
      <c r="AK52" s="302"/>
      <c r="AL52" s="536"/>
      <c r="AM52" s="240"/>
      <c r="AO52" s="1547"/>
      <c r="AP52" s="1547" t="str">
        <f t="shared" si="1"/>
        <v>Добавить группу потребителей</v>
      </c>
      <c r="AQ52" s="1547"/>
      <c r="AR52" s="1547"/>
      <c r="AS52" s="1554">
        <v>11</v>
      </c>
    </row>
    <row r="53" spans="1:45" ht="14.65" customHeight="1">
      <c r="A53" s="1190" t="s">
        <v>231</v>
      </c>
      <c r="B53" s="1190" t="s">
        <v>232</v>
      </c>
      <c r="C53" s="1190" t="s">
        <v>233</v>
      </c>
      <c r="D53" s="1190" t="s">
        <v>234</v>
      </c>
      <c r="E53" s="2531"/>
      <c r="F53" s="2531"/>
      <c r="G53" s="2531"/>
      <c r="H53" s="2530"/>
      <c r="I53" s="1190"/>
      <c r="J53" s="1190"/>
      <c r="K53" s="1190"/>
      <c r="L53" s="1233"/>
      <c r="M53" s="1533"/>
      <c r="N53" s="1533"/>
      <c r="O53" s="1558"/>
      <c r="P53" s="296"/>
      <c r="Q53" s="311"/>
      <c r="R53" s="291"/>
      <c r="S53" s="1201"/>
      <c r="T53" s="301" t="s">
        <v>432</v>
      </c>
      <c r="U53" s="536"/>
      <c r="V53" s="536"/>
      <c r="W53" s="536"/>
      <c r="X53" s="536"/>
      <c r="Y53" s="536"/>
      <c r="Z53" s="536"/>
      <c r="AA53" s="536"/>
      <c r="AB53" s="536"/>
      <c r="AC53" s="302"/>
      <c r="AD53" s="536"/>
      <c r="AE53" s="536"/>
      <c r="AF53" s="536"/>
      <c r="AG53" s="536"/>
      <c r="AH53" s="536"/>
      <c r="AI53" s="536"/>
      <c r="AJ53" s="536"/>
      <c r="AK53" s="302"/>
      <c r="AL53" s="536"/>
      <c r="AM53" s="240"/>
      <c r="AO53" s="1547"/>
      <c r="AP53" s="1547" t="str">
        <f t="shared" si="1"/>
        <v>Добавить схему подключения</v>
      </c>
      <c r="AQ53" s="1547"/>
      <c r="AR53" s="1547"/>
      <c r="AS53" s="1554">
        <v>14</v>
      </c>
    </row>
    <row r="54" spans="1:45" s="1565" customFormat="1" ht="4.1500000000000004" customHeight="1">
      <c r="A54" s="1298" t="s">
        <v>231</v>
      </c>
      <c r="B54" s="1298" t="s">
        <v>232</v>
      </c>
      <c r="C54" s="1298" t="s">
        <v>233</v>
      </c>
      <c r="D54" s="1297"/>
      <c r="E54" s="2531"/>
      <c r="F54" s="2531"/>
      <c r="G54" s="2530"/>
      <c r="H54" s="1297"/>
      <c r="I54" s="1297"/>
      <c r="J54" s="1297"/>
      <c r="K54" s="1297"/>
      <c r="L54" s="1300"/>
      <c r="M54" s="1301"/>
      <c r="N54" s="1301"/>
      <c r="O54" s="287"/>
      <c r="P54" s="1239"/>
      <c r="Q54" s="1240"/>
      <c r="R54" s="1239"/>
      <c r="S54" s="1245"/>
      <c r="T54" s="1248" t="s">
        <v>433</v>
      </c>
      <c r="U54" s="1247"/>
      <c r="V54" s="1247"/>
      <c r="W54" s="1247"/>
      <c r="X54" s="1247"/>
      <c r="Y54" s="1247"/>
      <c r="Z54" s="1247"/>
      <c r="AA54" s="1247"/>
      <c r="AB54" s="1247"/>
      <c r="AC54" s="1247"/>
      <c r="AD54" s="1247"/>
      <c r="AE54" s="1247"/>
      <c r="AF54" s="1247"/>
      <c r="AG54" s="1247"/>
      <c r="AH54" s="1247"/>
      <c r="AI54" s="1247"/>
      <c r="AJ54" s="1247"/>
      <c r="AK54" s="1247"/>
      <c r="AL54" s="1247"/>
      <c r="AM54" s="1247"/>
      <c r="AO54" s="1174"/>
      <c r="AP54" s="1174" t="str">
        <f t="shared" si="1"/>
        <v>Добавить источник для дифференциации</v>
      </c>
      <c r="AQ54" s="1174"/>
      <c r="AR54" s="1174"/>
      <c r="AS54" s="1565">
        <v>4</v>
      </c>
    </row>
    <row r="55" spans="1:45" s="1565" customFormat="1" ht="4.1500000000000004" customHeight="1">
      <c r="A55" s="1298" t="s">
        <v>231</v>
      </c>
      <c r="B55" s="1298" t="s">
        <v>232</v>
      </c>
      <c r="C55" s="1297"/>
      <c r="D55" s="1297"/>
      <c r="E55" s="2531"/>
      <c r="F55" s="2530"/>
      <c r="G55" s="1297"/>
      <c r="H55" s="1297"/>
      <c r="I55" s="1297"/>
      <c r="J55" s="1297"/>
      <c r="K55" s="1297"/>
      <c r="L55" s="1300"/>
      <c r="M55" s="1302"/>
      <c r="N55" s="1302"/>
      <c r="O55" s="287"/>
      <c r="P55" s="1239"/>
      <c r="Q55" s="1240"/>
      <c r="R55" s="1239"/>
      <c r="S55" s="1245"/>
      <c r="T55" s="1248" t="s">
        <v>434</v>
      </c>
      <c r="U55" s="1247"/>
      <c r="V55" s="1247"/>
      <c r="W55" s="1247"/>
      <c r="X55" s="1247"/>
      <c r="Y55" s="1247"/>
      <c r="Z55" s="1247"/>
      <c r="AA55" s="1247"/>
      <c r="AB55" s="1247"/>
      <c r="AC55" s="1247"/>
      <c r="AD55" s="1247"/>
      <c r="AE55" s="1247"/>
      <c r="AF55" s="1247"/>
      <c r="AG55" s="1247"/>
      <c r="AH55" s="1247"/>
      <c r="AI55" s="1247"/>
      <c r="AJ55" s="1247"/>
      <c r="AK55" s="1247"/>
      <c r="AL55" s="1247"/>
      <c r="AM55" s="1247"/>
      <c r="AO55" s="1174"/>
      <c r="AP55" s="1174" t="str">
        <f t="shared" si="1"/>
        <v>Добавить централизованную систему для дифференциации</v>
      </c>
      <c r="AQ55" s="1174"/>
      <c r="AR55" s="1174"/>
      <c r="AS55" s="1565">
        <v>4</v>
      </c>
    </row>
    <row r="56" spans="1:45" s="1565" customFormat="1" ht="4.1500000000000004" customHeight="1">
      <c r="A56" s="1298" t="s">
        <v>231</v>
      </c>
      <c r="B56" s="1298"/>
      <c r="C56" s="1298"/>
      <c r="D56" s="1298"/>
      <c r="E56" s="2530"/>
      <c r="F56" s="1298"/>
      <c r="G56" s="1298"/>
      <c r="H56" s="1298"/>
      <c r="I56" s="1298"/>
      <c r="J56" s="1298"/>
      <c r="K56" s="1298"/>
      <c r="L56" s="1304"/>
      <c r="M56" s="1302"/>
      <c r="N56" s="1302"/>
      <c r="O56" s="287"/>
      <c r="P56" s="316"/>
      <c r="Q56" s="1267"/>
      <c r="R56" s="316"/>
      <c r="S56" s="1245"/>
      <c r="T56" s="1248" t="s">
        <v>435</v>
      </c>
      <c r="U56" s="1247"/>
      <c r="V56" s="1247"/>
      <c r="W56" s="1247"/>
      <c r="X56" s="1247"/>
      <c r="Y56" s="1247"/>
      <c r="Z56" s="1247"/>
      <c r="AA56" s="1247"/>
      <c r="AB56" s="1247"/>
      <c r="AC56" s="1247"/>
      <c r="AD56" s="1247"/>
      <c r="AE56" s="1247"/>
      <c r="AF56" s="1247"/>
      <c r="AG56" s="1247"/>
      <c r="AH56" s="1247"/>
      <c r="AI56" s="1247"/>
      <c r="AJ56" s="1247"/>
      <c r="AK56" s="1247"/>
      <c r="AL56" s="1247"/>
      <c r="AM56" s="1247"/>
      <c r="AO56" s="1547"/>
      <c r="AP56" s="1547" t="str">
        <f t="shared" si="1"/>
        <v>Добавить территорию для дифференциации</v>
      </c>
      <c r="AQ56" s="1547"/>
      <c r="AR56" s="1547"/>
      <c r="AS56" s="1559">
        <v>4</v>
      </c>
    </row>
    <row r="57" spans="1:45" s="1565" customFormat="1" ht="4.1500000000000004" customHeight="1">
      <c r="A57" s="1297"/>
      <c r="B57" s="1297"/>
      <c r="C57" s="1297"/>
      <c r="D57" s="1297"/>
      <c r="E57" s="1298"/>
      <c r="F57" s="1297"/>
      <c r="G57" s="1297"/>
      <c r="H57" s="1297"/>
      <c r="I57" s="1297"/>
      <c r="J57" s="1297"/>
      <c r="K57" s="1297"/>
      <c r="L57" s="1300"/>
      <c r="M57" s="1302"/>
      <c r="N57" s="1302"/>
      <c r="O57" s="287"/>
      <c r="P57" s="1239"/>
      <c r="Q57" s="1240"/>
      <c r="R57" s="1239"/>
      <c r="S57" s="1245"/>
      <c r="T57" s="1248" t="s">
        <v>463</v>
      </c>
      <c r="U57" s="1247"/>
      <c r="V57" s="1247"/>
      <c r="W57" s="1247"/>
      <c r="X57" s="1247"/>
      <c r="Y57" s="1247"/>
      <c r="Z57" s="1247"/>
      <c r="AA57" s="1247"/>
      <c r="AB57" s="1247"/>
      <c r="AC57" s="1247"/>
      <c r="AD57" s="1247"/>
      <c r="AE57" s="1247"/>
      <c r="AF57" s="1247"/>
      <c r="AG57" s="1247"/>
      <c r="AH57" s="1247"/>
      <c r="AI57" s="1247"/>
      <c r="AJ57" s="1247"/>
      <c r="AK57" s="1247"/>
      <c r="AL57" s="1247"/>
      <c r="AM57" s="1247"/>
      <c r="AO57" s="1174"/>
      <c r="AP57" s="1174" t="str">
        <f t="shared" si="1"/>
        <v>Добавить наименование тарифа</v>
      </c>
      <c r="AQ57" s="1174"/>
      <c r="AR57" s="1174"/>
      <c r="AS57" s="1565">
        <v>4</v>
      </c>
    </row>
    <row r="58" spans="1:45" ht="11.45" customHeight="1">
      <c r="M58" s="1554"/>
      <c r="N58" s="1554"/>
      <c r="O58" s="1558"/>
      <c r="P58" s="1554"/>
      <c r="Q58" s="1554"/>
      <c r="R58" s="1554"/>
      <c r="S58" s="1554"/>
      <c r="AN58" s="1554"/>
      <c r="AO58" s="1554"/>
      <c r="AP58" s="1554"/>
      <c r="AQ58" s="1554"/>
      <c r="AR58" s="1554"/>
      <c r="AS58" s="1554">
        <v>11</v>
      </c>
    </row>
    <row r="59" spans="1:45" ht="28.5" customHeight="1">
      <c r="O59" s="1558"/>
      <c r="S59" s="1176"/>
      <c r="T59" s="2526"/>
      <c r="U59" s="2526"/>
      <c r="V59" s="2526"/>
      <c r="W59" s="2526"/>
      <c r="X59" s="2526"/>
      <c r="Y59" s="2526"/>
      <c r="Z59" s="2526"/>
      <c r="AA59" s="2526"/>
      <c r="AB59" s="2526"/>
      <c r="AC59" s="2526"/>
      <c r="AD59" s="2526"/>
      <c r="AE59" s="2526"/>
      <c r="AF59" s="2526"/>
      <c r="AG59" s="2526"/>
      <c r="AH59" s="2526"/>
      <c r="AI59" s="2526"/>
      <c r="AJ59" s="2526"/>
      <c r="AK59" s="2526"/>
      <c r="AL59" s="2526"/>
      <c r="AM59" s="2526"/>
      <c r="AS59" s="1554">
        <v>27</v>
      </c>
    </row>
    <row r="60" spans="1:45" ht="65.25" customHeight="1">
      <c r="O60" s="1558"/>
      <c r="T60" s="2526"/>
      <c r="U60" s="2526"/>
      <c r="V60" s="2526"/>
      <c r="W60" s="2526"/>
      <c r="X60" s="2526"/>
      <c r="Y60" s="2526"/>
      <c r="Z60" s="2526"/>
      <c r="AA60" s="2526"/>
      <c r="AB60" s="2526"/>
      <c r="AC60" s="2526"/>
      <c r="AD60" s="2526"/>
      <c r="AE60" s="2526"/>
      <c r="AF60" s="2526"/>
      <c r="AG60" s="2526"/>
      <c r="AH60" s="2526"/>
      <c r="AI60" s="2526"/>
      <c r="AJ60" s="2526"/>
      <c r="AK60" s="2526"/>
      <c r="AL60" s="2526"/>
      <c r="AM60" s="2526"/>
      <c r="AS60" s="1554">
        <v>62</v>
      </c>
    </row>
    <row r="61" spans="1:45" ht="14.65" customHeight="1">
      <c r="O61" s="1558"/>
      <c r="AS61" s="1554">
        <v>14</v>
      </c>
    </row>
    <row r="62" spans="1:45" ht="18.75" customHeight="1">
      <c r="O62" s="1558"/>
      <c r="S62" s="1176"/>
      <c r="T62" s="2526"/>
      <c r="U62" s="2526"/>
      <c r="V62" s="2526"/>
      <c r="W62" s="2526"/>
      <c r="X62" s="2526"/>
      <c r="Y62" s="2526"/>
      <c r="Z62" s="2526"/>
      <c r="AA62" s="2526"/>
      <c r="AB62" s="2526"/>
      <c r="AC62" s="2526"/>
      <c r="AD62" s="2526"/>
      <c r="AE62" s="2526"/>
      <c r="AF62" s="2526"/>
      <c r="AG62" s="2526"/>
      <c r="AH62" s="2526"/>
      <c r="AI62" s="2526"/>
      <c r="AJ62" s="2526"/>
      <c r="AK62" s="2526"/>
      <c r="AL62" s="2526"/>
      <c r="AM62" s="2526"/>
      <c r="AS62" s="1554">
        <v>18</v>
      </c>
    </row>
    <row r="63" spans="1:45" ht="18.75" customHeight="1">
      <c r="O63" s="1558"/>
      <c r="T63" s="2526"/>
      <c r="U63" s="2526"/>
      <c r="V63" s="2526"/>
      <c r="W63" s="2526"/>
      <c r="X63" s="2526"/>
      <c r="Y63" s="2526"/>
      <c r="Z63" s="2526"/>
      <c r="AA63" s="2526"/>
      <c r="AB63" s="2526"/>
      <c r="AC63" s="2526"/>
      <c r="AD63" s="2526"/>
      <c r="AE63" s="2526"/>
      <c r="AF63" s="2526"/>
      <c r="AG63" s="2526"/>
      <c r="AH63" s="2526"/>
      <c r="AI63" s="2526"/>
      <c r="AJ63" s="2526"/>
      <c r="AK63" s="2526"/>
      <c r="AL63" s="2526"/>
      <c r="AM63" s="2526"/>
      <c r="AS63" s="1554">
        <v>18</v>
      </c>
    </row>
    <row r="64" spans="1:45" ht="29.25" customHeight="1">
      <c r="O64" s="1558"/>
      <c r="S64" s="1176"/>
      <c r="T64" s="2526"/>
      <c r="U64" s="2526"/>
      <c r="V64" s="2526"/>
      <c r="W64" s="2526"/>
      <c r="X64" s="2526"/>
      <c r="Y64" s="2526"/>
      <c r="Z64" s="2526"/>
      <c r="AA64" s="2526"/>
      <c r="AB64" s="2526"/>
      <c r="AC64" s="2526"/>
      <c r="AD64" s="2526"/>
      <c r="AE64" s="2526"/>
      <c r="AF64" s="2526"/>
      <c r="AG64" s="2526"/>
      <c r="AH64" s="2526"/>
      <c r="AI64" s="2526"/>
      <c r="AJ64" s="2526"/>
      <c r="AK64" s="2526"/>
      <c r="AL64" s="2526"/>
      <c r="AM64" s="2526"/>
      <c r="AS64" s="1554">
        <v>28</v>
      </c>
    </row>
    <row r="65" spans="1:45" ht="22.5" hidden="1" customHeight="1">
      <c r="A65" s="1554" t="s">
        <v>83</v>
      </c>
      <c r="B65" s="1554">
        <v>0</v>
      </c>
      <c r="C65" s="1554">
        <v>0</v>
      </c>
      <c r="D65" s="1554">
        <v>0</v>
      </c>
      <c r="E65" s="1554">
        <v>0</v>
      </c>
      <c r="F65" s="1554">
        <v>0</v>
      </c>
      <c r="G65" s="1554">
        <v>0</v>
      </c>
      <c r="H65" s="1554">
        <v>0</v>
      </c>
      <c r="I65" s="1554">
        <v>0</v>
      </c>
      <c r="J65" s="1554">
        <v>0</v>
      </c>
      <c r="K65" s="1554">
        <v>0</v>
      </c>
      <c r="L65" s="1853">
        <v>0</v>
      </c>
      <c r="M65" s="1879">
        <v>0</v>
      </c>
      <c r="N65" s="1879">
        <v>0</v>
      </c>
      <c r="O65" s="1879">
        <v>0</v>
      </c>
      <c r="P65" s="1879">
        <v>3</v>
      </c>
      <c r="Q65" s="281">
        <v>3</v>
      </c>
      <c r="R65" s="281">
        <v>3</v>
      </c>
      <c r="S65" s="517">
        <v>12</v>
      </c>
      <c r="T65" s="1554">
        <v>31</v>
      </c>
      <c r="U65" s="1554">
        <v>0</v>
      </c>
      <c r="V65" s="1554">
        <v>0</v>
      </c>
      <c r="W65" s="1554">
        <v>0</v>
      </c>
      <c r="X65" s="1554">
        <v>0</v>
      </c>
      <c r="Y65" s="1554">
        <v>0</v>
      </c>
      <c r="Z65" s="1554">
        <v>0</v>
      </c>
      <c r="AA65" s="1554">
        <v>0</v>
      </c>
      <c r="AB65" s="1554">
        <v>0</v>
      </c>
      <c r="AC65" s="1554">
        <v>0</v>
      </c>
      <c r="AD65" s="1554">
        <v>24</v>
      </c>
      <c r="AE65" s="1554">
        <v>0</v>
      </c>
      <c r="AF65" s="1554">
        <v>24</v>
      </c>
      <c r="AG65" s="1554">
        <v>24</v>
      </c>
      <c r="AH65" s="1554">
        <v>11</v>
      </c>
      <c r="AI65" s="1554">
        <v>3</v>
      </c>
      <c r="AJ65" s="1554">
        <v>11</v>
      </c>
      <c r="AK65" s="1554">
        <v>0</v>
      </c>
      <c r="AL65" s="1554">
        <v>4</v>
      </c>
      <c r="AM65" s="1554">
        <v>115</v>
      </c>
      <c r="AN65" s="1559">
        <v>10</v>
      </c>
      <c r="AO65" s="1559">
        <v>10</v>
      </c>
      <c r="AP65" s="1559">
        <v>10</v>
      </c>
      <c r="AQ65" s="1559">
        <v>10</v>
      </c>
      <c r="AR65" s="1559">
        <v>10</v>
      </c>
      <c r="AS65" s="1554">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58" hidden="1"/>
    <col min="2" max="2" width="11" style="1558" hidden="1" customWidth="1"/>
    <col min="3" max="3" width="10.5703125" style="1558" hidden="1"/>
    <col min="4" max="4" width="11.85546875" style="1558" hidden="1" customWidth="1"/>
    <col min="5" max="5" width="10" style="1558" hidden="1" customWidth="1"/>
    <col min="6" max="6" width="8.7109375" style="1558" hidden="1" customWidth="1"/>
    <col min="7" max="7" width="7.5703125" style="1558" hidden="1" customWidth="1"/>
    <col min="8" max="8" width="11.42578125" style="1558" hidden="1" customWidth="1"/>
    <col min="9" max="9" width="12" style="1558" hidden="1" customWidth="1"/>
    <col min="10" max="10" width="9.85546875" style="1558" hidden="1" customWidth="1"/>
    <col min="11" max="11" width="11.42578125" style="1558" hidden="1" customWidth="1"/>
    <col min="12" max="12" width="19.140625" style="2015" hidden="1" customWidth="1"/>
    <col min="13" max="14" width="12.28515625" style="2032" hidden="1" customWidth="1"/>
    <col min="15" max="15" width="23.42578125" style="2032" hidden="1" customWidth="1"/>
    <col min="16" max="16" width="3" style="2032" customWidth="1"/>
    <col min="17" max="18" width="3" style="281" customWidth="1"/>
    <col min="19" max="19" width="12" style="2033" customWidth="1"/>
    <col min="20" max="20" width="31" style="1558" customWidth="1"/>
    <col min="21" max="21" width="0.140625" style="1558" customWidth="1"/>
    <col min="22" max="22" width="24.7109375" style="1558" hidden="1" customWidth="1"/>
    <col min="23" max="23" width="0.140625" style="1558" hidden="1" customWidth="1"/>
    <col min="24" max="25" width="24.7109375" style="1558" hidden="1" customWidth="1"/>
    <col min="26" max="26" width="11.7109375" style="1558" hidden="1" customWidth="1"/>
    <col min="27" max="27" width="3.7109375" style="1558" hidden="1" customWidth="1"/>
    <col min="28" max="28" width="11.7109375" style="1558" hidden="1" customWidth="1"/>
    <col min="29" max="29" width="8.5703125" style="1558" hidden="1" customWidth="1"/>
    <col min="30" max="30" width="24.7109375" style="1558" customWidth="1"/>
    <col min="31" max="31" width="0.140625" style="1558" customWidth="1"/>
    <col min="32" max="33" width="24" style="1558" customWidth="1"/>
    <col min="34" max="34" width="11" style="1558" customWidth="1"/>
    <col min="35" max="35" width="3.7109375" style="1558" customWidth="1"/>
    <col min="36" max="36" width="11" style="1558" customWidth="1"/>
    <col min="37" max="37" width="8.5703125" style="1558" hidden="1" customWidth="1"/>
    <col min="38" max="38" width="4" style="1558" customWidth="1"/>
    <col min="39" max="39" width="115" style="1558" customWidth="1"/>
    <col min="40" max="44" width="10" style="1565" customWidth="1"/>
    <col min="45" max="45" width="10.5703125" style="1558" hidden="1"/>
  </cols>
  <sheetData>
    <row r="1" spans="1:45" ht="22.5" hidden="1" customHeight="1">
      <c r="AS1" s="1554" t="s">
        <v>14</v>
      </c>
    </row>
    <row r="2" spans="1:45" ht="21" hidden="1" customHeight="1">
      <c r="A2" s="1190"/>
      <c r="B2" s="1190"/>
      <c r="C2" s="1190"/>
      <c r="D2" s="1190"/>
      <c r="E2" s="2530">
        <v>1</v>
      </c>
      <c r="F2" s="1190"/>
      <c r="G2" s="1190"/>
      <c r="H2" s="1190"/>
      <c r="I2" s="1190"/>
      <c r="J2" s="1190"/>
      <c r="K2" s="1190"/>
      <c r="L2" s="1233"/>
      <c r="M2" s="1533"/>
      <c r="N2" s="1533"/>
      <c r="O2" s="1533"/>
      <c r="P2" s="1513"/>
      <c r="Q2" s="296"/>
      <c r="R2" s="291"/>
      <c r="S2" s="1872" t="e">
        <f>INDEX(PT_DIFFERENTIATION_NUM_NTAR,MATCH(A2,PT_DIFFERENTIATION_NTAR_ID,0))</f>
        <v>#N/A</v>
      </c>
      <c r="T2" s="1448" t="s">
        <v>144</v>
      </c>
      <c r="U2" s="237"/>
      <c r="V2" s="2492"/>
      <c r="W2" s="2493"/>
      <c r="X2" s="2493"/>
      <c r="Y2" s="2493"/>
      <c r="Z2" s="2493"/>
      <c r="AA2" s="2493"/>
      <c r="AB2" s="2493"/>
      <c r="AC2" s="2494"/>
      <c r="AD2" s="2492" t="e">
        <f>INDEX(PT_DIFFERENTIATION_NTAR,MATCH(A2,PT_DIFFERENTIATION_NTAR_ID,0))</f>
        <v>#N/A</v>
      </c>
      <c r="AE2" s="2493"/>
      <c r="AF2" s="2493"/>
      <c r="AG2" s="2493"/>
      <c r="AH2" s="2493"/>
      <c r="AI2" s="2493"/>
      <c r="AJ2" s="2493"/>
      <c r="AK2" s="2493"/>
      <c r="AL2" s="2494"/>
      <c r="AM2" s="1181" t="s">
        <v>415</v>
      </c>
      <c r="AO2" s="1547"/>
      <c r="AP2" s="1547" t="str">
        <f t="shared" ref="AP2:AP15" si="0">IF(T2="","",T2)</f>
        <v>Наименование тарифа</v>
      </c>
      <c r="AQ2" s="1547"/>
      <c r="AR2" s="1547"/>
      <c r="AS2" s="1554">
        <v>0</v>
      </c>
    </row>
    <row r="3" spans="1:45" ht="21" hidden="1" customHeight="1">
      <c r="A3" s="1190"/>
      <c r="B3" s="1190"/>
      <c r="C3" s="1190"/>
      <c r="D3" s="1190"/>
      <c r="E3" s="2531"/>
      <c r="F3" s="2530">
        <v>1</v>
      </c>
      <c r="G3" s="1190"/>
      <c r="H3" s="1190"/>
      <c r="I3" s="1190"/>
      <c r="J3" s="1190"/>
      <c r="K3" s="1190"/>
      <c r="L3" s="1233"/>
      <c r="M3" s="1533"/>
      <c r="N3" s="1533"/>
      <c r="O3" s="1533"/>
      <c r="P3" s="1854"/>
      <c r="Q3" s="288"/>
      <c r="R3" s="289"/>
      <c r="S3" s="1872" t="e">
        <f>INDEX(PT_DIFFERENTIATION_NUM_TER,MATCH(B3,PT_DIFFERENTIATION_TER_ID,0))</f>
        <v>#N/A</v>
      </c>
      <c r="T3" s="1445" t="s">
        <v>416</v>
      </c>
      <c r="U3" s="237"/>
      <c r="V3" s="2492"/>
      <c r="W3" s="2493"/>
      <c r="X3" s="2493"/>
      <c r="Y3" s="2493"/>
      <c r="Z3" s="2493"/>
      <c r="AA3" s="2493"/>
      <c r="AB3" s="2493"/>
      <c r="AC3" s="2494"/>
      <c r="AD3" s="2492" t="e">
        <f>INDEX(PT_DIFFERENTIATION_TER,MATCH(B3,PT_DIFFERENTIATION_TER_ID,0))</f>
        <v>#N/A</v>
      </c>
      <c r="AE3" s="2493"/>
      <c r="AF3" s="2493"/>
      <c r="AG3" s="2493"/>
      <c r="AH3" s="2493"/>
      <c r="AI3" s="2493"/>
      <c r="AJ3" s="2493"/>
      <c r="AK3" s="2493"/>
      <c r="AL3" s="2494"/>
      <c r="AM3" s="1181" t="s">
        <v>417</v>
      </c>
      <c r="AO3" s="1547"/>
      <c r="AP3" s="1547" t="str">
        <f t="shared" si="0"/>
        <v>Территория действия тарифа</v>
      </c>
      <c r="AQ3" s="1547"/>
      <c r="AR3" s="1547"/>
      <c r="AS3" s="1554">
        <v>0</v>
      </c>
    </row>
    <row r="4" spans="1:45" ht="23.25" hidden="1" customHeight="1">
      <c r="A4" s="1190"/>
      <c r="B4" s="1190"/>
      <c r="C4" s="1190"/>
      <c r="D4" s="1190"/>
      <c r="E4" s="2531"/>
      <c r="F4" s="2531"/>
      <c r="G4" s="2530">
        <v>1</v>
      </c>
      <c r="H4" s="1190"/>
      <c r="I4" s="1190"/>
      <c r="J4" s="1190"/>
      <c r="K4" s="1190"/>
      <c r="L4" s="1233"/>
      <c r="M4" s="1533"/>
      <c r="N4" s="1533"/>
      <c r="O4" s="1533"/>
      <c r="P4" s="290"/>
      <c r="Q4" s="288"/>
      <c r="R4" s="289"/>
      <c r="S4" s="1872" t="e">
        <f>INDEX(PT_DIFFERENTIATION_NUM_CS,MATCH(C4,PT_DIFFERENTIATION_CS_ID,0))</f>
        <v>#N/A</v>
      </c>
      <c r="T4" s="246" t="s">
        <v>418</v>
      </c>
      <c r="U4" s="237"/>
      <c r="V4" s="2492"/>
      <c r="W4" s="2493"/>
      <c r="X4" s="2493"/>
      <c r="Y4" s="2493"/>
      <c r="Z4" s="2493"/>
      <c r="AA4" s="2493"/>
      <c r="AB4" s="2493"/>
      <c r="AC4" s="2494"/>
      <c r="AD4" s="2492" t="e">
        <f>INDEX(PT_DIFFERENTIATION_CS,MATCH(C4,PT_DIFFERENTIATION_CS_ID,0))</f>
        <v>#N/A</v>
      </c>
      <c r="AE4" s="2493"/>
      <c r="AF4" s="2493"/>
      <c r="AG4" s="2493"/>
      <c r="AH4" s="2493"/>
      <c r="AI4" s="2493"/>
      <c r="AJ4" s="2493"/>
      <c r="AK4" s="2493"/>
      <c r="AL4" s="2494"/>
      <c r="AM4" s="1181" t="s">
        <v>419</v>
      </c>
      <c r="AO4" s="1547"/>
      <c r="AP4" s="1547" t="str">
        <f t="shared" si="0"/>
        <v xml:space="preserve">Наименование системы теплоснабжения </v>
      </c>
      <c r="AQ4" s="1547"/>
      <c r="AR4" s="1547"/>
      <c r="AS4" s="1554">
        <v>0</v>
      </c>
    </row>
    <row r="5" spans="1:45" ht="21" hidden="1" customHeight="1">
      <c r="A5" s="1190"/>
      <c r="B5" s="1190"/>
      <c r="C5" s="1190"/>
      <c r="D5" s="1190"/>
      <c r="E5" s="2531"/>
      <c r="F5" s="2531"/>
      <c r="G5" s="2531"/>
      <c r="H5" s="2530">
        <v>1</v>
      </c>
      <c r="I5" s="1190"/>
      <c r="J5" s="1190"/>
      <c r="K5" s="1190"/>
      <c r="L5" s="1233"/>
      <c r="M5" s="1533"/>
      <c r="N5" s="1533"/>
      <c r="O5" s="1533"/>
      <c r="P5" s="290"/>
      <c r="Q5" s="288"/>
      <c r="R5" s="289"/>
      <c r="S5" s="1872" t="e">
        <f>INDEX(PT_DIFFERENTIATION_NUM_IST_TE,MATCH(D5,PT_DIFFERENTIATION_IST_TE_ID,0))</f>
        <v>#N/A</v>
      </c>
      <c r="T5" s="247" t="s">
        <v>420</v>
      </c>
      <c r="U5" s="237"/>
      <c r="V5" s="2492"/>
      <c r="W5" s="2493"/>
      <c r="X5" s="2493"/>
      <c r="Y5" s="2493"/>
      <c r="Z5" s="2493"/>
      <c r="AA5" s="2493"/>
      <c r="AB5" s="2493"/>
      <c r="AC5" s="2494"/>
      <c r="AD5" s="2492" t="e">
        <f>INDEX(PT_DIFFERENTIATION_IST_TE,MATCH(D5,PT_DIFFERENTIATION_IST_TE_ID,0))</f>
        <v>#N/A</v>
      </c>
      <c r="AE5" s="2493"/>
      <c r="AF5" s="2493"/>
      <c r="AG5" s="2493"/>
      <c r="AH5" s="2493"/>
      <c r="AI5" s="2493"/>
      <c r="AJ5" s="2493"/>
      <c r="AK5" s="2493"/>
      <c r="AL5" s="2494"/>
      <c r="AM5" s="1181" t="s">
        <v>421</v>
      </c>
      <c r="AO5" s="1547"/>
      <c r="AP5" s="1547" t="str">
        <f t="shared" si="0"/>
        <v xml:space="preserve">Источник тепловой энергии  </v>
      </c>
      <c r="AQ5" s="1547"/>
      <c r="AR5" s="1547"/>
      <c r="AS5" s="1554">
        <v>0</v>
      </c>
    </row>
    <row r="6" spans="1:45" ht="47.25" hidden="1" customHeight="1">
      <c r="A6" s="1190"/>
      <c r="B6" s="1190"/>
      <c r="C6" s="1190"/>
      <c r="D6" s="1190"/>
      <c r="E6" s="2531"/>
      <c r="F6" s="2531"/>
      <c r="G6" s="2531"/>
      <c r="H6" s="2531"/>
      <c r="I6" s="2371" t="e">
        <f>S5&amp;".1"</f>
        <v>#N/A</v>
      </c>
      <c r="J6" s="1190"/>
      <c r="K6" s="1190"/>
      <c r="L6" s="1233" t="s">
        <v>422</v>
      </c>
      <c r="M6" s="1558"/>
      <c r="P6" s="2505">
        <v>1</v>
      </c>
      <c r="Q6" s="1868"/>
      <c r="R6" s="292"/>
      <c r="S6" s="1872" t="e">
        <f>$I6</f>
        <v>#N/A</v>
      </c>
      <c r="T6" s="222" t="s">
        <v>423</v>
      </c>
      <c r="U6" s="237"/>
      <c r="V6" s="2495"/>
      <c r="W6" s="2496"/>
      <c r="X6" s="2496"/>
      <c r="Y6" s="2496"/>
      <c r="Z6" s="2496"/>
      <c r="AA6" s="2496"/>
      <c r="AB6" s="2496"/>
      <c r="AC6" s="2497"/>
      <c r="AD6" s="2495"/>
      <c r="AE6" s="2496"/>
      <c r="AF6" s="2496"/>
      <c r="AG6" s="2496"/>
      <c r="AH6" s="2496"/>
      <c r="AI6" s="2496"/>
      <c r="AJ6" s="2496"/>
      <c r="AK6" s="2496"/>
      <c r="AL6" s="2497"/>
      <c r="AM6" s="1181" t="s">
        <v>424</v>
      </c>
      <c r="AO6" s="1547"/>
      <c r="AP6" s="1547" t="str">
        <f t="shared" si="0"/>
        <v>Схема подключения теплопотребляющей установки к коллектору источника тепловой энергии</v>
      </c>
      <c r="AQ6" s="1547"/>
      <c r="AR6" s="1547"/>
      <c r="AS6" s="1554">
        <v>0</v>
      </c>
    </row>
    <row r="7" spans="1:45" ht="21" hidden="1" customHeight="1">
      <c r="A7" s="1190"/>
      <c r="B7" s="1190"/>
      <c r="C7" s="1190"/>
      <c r="D7" s="1190"/>
      <c r="E7" s="2531"/>
      <c r="F7" s="2531"/>
      <c r="G7" s="2531"/>
      <c r="H7" s="2531"/>
      <c r="I7" s="2350"/>
      <c r="J7" s="2371" t="e">
        <f>I6&amp;".1"</f>
        <v>#N/A</v>
      </c>
      <c r="K7" s="1190"/>
      <c r="L7" s="1233" t="s">
        <v>425</v>
      </c>
      <c r="M7" s="1558"/>
      <c r="N7" s="1554"/>
      <c r="P7" s="2505"/>
      <c r="Q7" s="2505">
        <v>1</v>
      </c>
      <c r="R7" s="293"/>
      <c r="S7" s="1872" t="e">
        <f>$J7</f>
        <v>#N/A</v>
      </c>
      <c r="T7" s="223" t="s">
        <v>426</v>
      </c>
      <c r="U7" s="237"/>
      <c r="V7" s="2495"/>
      <c r="W7" s="2496"/>
      <c r="X7" s="2496"/>
      <c r="Y7" s="2496"/>
      <c r="Z7" s="2496"/>
      <c r="AA7" s="2496"/>
      <c r="AB7" s="2496"/>
      <c r="AC7" s="2497"/>
      <c r="AD7" s="2495"/>
      <c r="AE7" s="2496"/>
      <c r="AF7" s="2496"/>
      <c r="AG7" s="2496"/>
      <c r="AH7" s="2496"/>
      <c r="AI7" s="2496"/>
      <c r="AJ7" s="2496"/>
      <c r="AK7" s="2496"/>
      <c r="AL7" s="2497"/>
      <c r="AM7" s="1181" t="s">
        <v>427</v>
      </c>
      <c r="AO7" s="1547"/>
      <c r="AP7" s="1547" t="str">
        <f t="shared" si="0"/>
        <v>Группа потребителей</v>
      </c>
      <c r="AQ7" s="1547"/>
      <c r="AR7" s="1547"/>
      <c r="AS7" s="1554">
        <v>0</v>
      </c>
    </row>
    <row r="8" spans="1:45" ht="21" hidden="1" customHeight="1">
      <c r="A8" s="1190"/>
      <c r="B8" s="1190"/>
      <c r="C8" s="1190"/>
      <c r="D8" s="1190"/>
      <c r="E8" s="2531"/>
      <c r="F8" s="2531"/>
      <c r="G8" s="2531"/>
      <c r="H8" s="2531"/>
      <c r="I8" s="2350"/>
      <c r="J8" s="2350"/>
      <c r="K8" s="2371" t="e">
        <f>J7&amp;".1"</f>
        <v>#N/A</v>
      </c>
      <c r="L8" s="1233" t="s">
        <v>428</v>
      </c>
      <c r="M8" s="1558"/>
      <c r="N8" s="1554"/>
      <c r="O8" s="1554"/>
      <c r="P8" s="2505"/>
      <c r="Q8" s="2505"/>
      <c r="R8" s="293">
        <v>1</v>
      </c>
      <c r="S8" s="1872" t="e">
        <f>$K8</f>
        <v>#N/A</v>
      </c>
      <c r="T8" s="1270"/>
      <c r="U8" s="237"/>
      <c r="V8" s="686"/>
      <c r="W8" s="262"/>
      <c r="X8" s="686"/>
      <c r="Y8" s="1180"/>
      <c r="Z8" s="2509"/>
      <c r="AA8" s="2360" t="s">
        <v>63</v>
      </c>
      <c r="AB8" s="2509"/>
      <c r="AC8" s="2360" t="s">
        <v>63</v>
      </c>
      <c r="AD8" s="686"/>
      <c r="AE8" s="262"/>
      <c r="AF8" s="686"/>
      <c r="AG8" s="1180"/>
      <c r="AH8" s="2509"/>
      <c r="AI8" s="2360" t="s">
        <v>63</v>
      </c>
      <c r="AJ8" s="2509"/>
      <c r="AK8" s="2360" t="s">
        <v>63</v>
      </c>
      <c r="AL8" s="262"/>
      <c r="AM8" s="2501" t="s">
        <v>429</v>
      </c>
      <c r="AN8" s="1559" t="e">
        <f ca="1">STRCHECKDATE(V9:AL9)</f>
        <v>#NAME?</v>
      </c>
      <c r="AO8" s="1547"/>
      <c r="AP8" s="1547" t="str">
        <f t="shared" si="0"/>
        <v/>
      </c>
      <c r="AQ8" s="1547"/>
      <c r="AR8" s="1547"/>
      <c r="AS8" s="1554">
        <v>0</v>
      </c>
    </row>
    <row r="9" spans="1:45" ht="0.75" hidden="1" customHeight="1">
      <c r="A9" s="1190"/>
      <c r="B9" s="1190"/>
      <c r="C9" s="1190"/>
      <c r="D9" s="1190"/>
      <c r="E9" s="2531"/>
      <c r="F9" s="2531"/>
      <c r="G9" s="2531"/>
      <c r="H9" s="2531"/>
      <c r="I9" s="2350"/>
      <c r="J9" s="2350"/>
      <c r="K9" s="2371"/>
      <c r="L9" s="1233"/>
      <c r="M9" s="1558"/>
      <c r="N9" s="1554"/>
      <c r="O9" s="1554"/>
      <c r="P9" s="2505"/>
      <c r="Q9" s="2505"/>
      <c r="R9" s="293"/>
      <c r="S9" s="1881"/>
      <c r="T9" s="237"/>
      <c r="U9" s="237"/>
      <c r="V9" s="262"/>
      <c r="W9" s="262"/>
      <c r="X9" s="262"/>
      <c r="Y9" s="265" t="str">
        <f>Z8&amp;"-"&amp;AB8</f>
        <v>-</v>
      </c>
      <c r="Z9" s="2510"/>
      <c r="AA9" s="2360"/>
      <c r="AB9" s="2510"/>
      <c r="AC9" s="2360"/>
      <c r="AD9" s="262"/>
      <c r="AE9" s="262"/>
      <c r="AF9" s="262"/>
      <c r="AG9" s="265" t="str">
        <f>AH8&amp;"-"&amp;AJ8</f>
        <v>-</v>
      </c>
      <c r="AH9" s="2510"/>
      <c r="AI9" s="2360"/>
      <c r="AJ9" s="2510"/>
      <c r="AK9" s="2360"/>
      <c r="AL9" s="262"/>
      <c r="AM9" s="2502"/>
      <c r="AO9" s="1547"/>
      <c r="AP9" s="1547" t="str">
        <f t="shared" si="0"/>
        <v/>
      </c>
      <c r="AQ9" s="1547"/>
      <c r="AR9" s="1547"/>
      <c r="AS9" s="1554">
        <v>0</v>
      </c>
    </row>
    <row r="10" spans="1:45" ht="15" hidden="1" customHeight="1">
      <c r="A10" s="1190"/>
      <c r="B10" s="1190"/>
      <c r="C10" s="1190"/>
      <c r="D10" s="1190"/>
      <c r="E10" s="2531"/>
      <c r="F10" s="2531"/>
      <c r="G10" s="2531"/>
      <c r="H10" s="2531"/>
      <c r="I10" s="2350"/>
      <c r="J10" s="2371"/>
      <c r="K10" s="1190"/>
      <c r="L10" s="1233"/>
      <c r="M10" s="1558"/>
      <c r="N10" s="1554"/>
      <c r="P10" s="2505"/>
      <c r="Q10" s="2505"/>
      <c r="R10" s="292"/>
      <c r="S10" s="1201"/>
      <c r="T10" s="225" t="s">
        <v>430</v>
      </c>
      <c r="U10" s="536"/>
      <c r="V10" s="536"/>
      <c r="W10" s="536"/>
      <c r="X10" s="536"/>
      <c r="Y10" s="536"/>
      <c r="Z10" s="536"/>
      <c r="AA10" s="536"/>
      <c r="AB10" s="536"/>
      <c r="AC10" s="536"/>
      <c r="AD10" s="536"/>
      <c r="AE10" s="536"/>
      <c r="AF10" s="536"/>
      <c r="AG10" s="536"/>
      <c r="AH10" s="536"/>
      <c r="AI10" s="536"/>
      <c r="AJ10" s="536"/>
      <c r="AK10" s="536"/>
      <c r="AL10" s="261"/>
      <c r="AM10" s="2503"/>
      <c r="AO10" s="1547"/>
      <c r="AP10" s="1547" t="str">
        <f t="shared" si="0"/>
        <v>Добавить вид теплоносителя (параметры теплоносителя)</v>
      </c>
      <c r="AQ10" s="1547"/>
      <c r="AR10" s="1547"/>
      <c r="AS10" s="1554">
        <v>0</v>
      </c>
    </row>
    <row r="11" spans="1:45" ht="15" hidden="1" customHeight="1">
      <c r="A11" s="1190"/>
      <c r="B11" s="1190"/>
      <c r="C11" s="1190"/>
      <c r="D11" s="1190"/>
      <c r="E11" s="2531"/>
      <c r="F11" s="2531"/>
      <c r="G11" s="2531"/>
      <c r="H11" s="2531"/>
      <c r="I11" s="2371"/>
      <c r="J11" s="1190"/>
      <c r="K11" s="1190"/>
      <c r="L11" s="1233"/>
      <c r="M11" s="1558"/>
      <c r="P11" s="2505"/>
      <c r="Q11" s="1868"/>
      <c r="R11" s="292"/>
      <c r="S11" s="1201"/>
      <c r="T11" s="224" t="s">
        <v>431</v>
      </c>
      <c r="U11" s="536"/>
      <c r="V11" s="536"/>
      <c r="W11" s="536"/>
      <c r="X11" s="536"/>
      <c r="Y11" s="536"/>
      <c r="Z11" s="536"/>
      <c r="AA11" s="536"/>
      <c r="AB11" s="536"/>
      <c r="AC11" s="302"/>
      <c r="AD11" s="536"/>
      <c r="AE11" s="536"/>
      <c r="AF11" s="536"/>
      <c r="AG11" s="536"/>
      <c r="AH11" s="536"/>
      <c r="AI11" s="536"/>
      <c r="AJ11" s="536"/>
      <c r="AK11" s="302"/>
      <c r="AL11" s="536"/>
      <c r="AM11" s="240"/>
      <c r="AO11" s="1547"/>
      <c r="AP11" s="1547" t="str">
        <f t="shared" si="0"/>
        <v>Добавить группу потребителей</v>
      </c>
      <c r="AQ11" s="1547"/>
      <c r="AR11" s="1547"/>
      <c r="AS11" s="1554">
        <v>0</v>
      </c>
    </row>
    <row r="12" spans="1:45" ht="14.25" hidden="1" customHeight="1">
      <c r="A12" s="1190"/>
      <c r="B12" s="1190"/>
      <c r="C12" s="1190"/>
      <c r="D12" s="1190"/>
      <c r="E12" s="2531"/>
      <c r="F12" s="2531"/>
      <c r="G12" s="2531"/>
      <c r="H12" s="2530"/>
      <c r="I12" s="1190"/>
      <c r="J12" s="1190"/>
      <c r="K12" s="1190"/>
      <c r="L12" s="1233"/>
      <c r="M12" s="1533"/>
      <c r="N12" s="1533"/>
      <c r="O12" s="1558"/>
      <c r="P12" s="296"/>
      <c r="Q12" s="311"/>
      <c r="R12" s="291"/>
      <c r="S12" s="1201"/>
      <c r="T12" s="301" t="s">
        <v>432</v>
      </c>
      <c r="U12" s="536"/>
      <c r="V12" s="536"/>
      <c r="W12" s="536"/>
      <c r="X12" s="536"/>
      <c r="Y12" s="536"/>
      <c r="Z12" s="536"/>
      <c r="AA12" s="536"/>
      <c r="AB12" s="536"/>
      <c r="AC12" s="302"/>
      <c r="AD12" s="536"/>
      <c r="AE12" s="536"/>
      <c r="AF12" s="536"/>
      <c r="AG12" s="536"/>
      <c r="AH12" s="536"/>
      <c r="AI12" s="536"/>
      <c r="AJ12" s="536"/>
      <c r="AK12" s="302"/>
      <c r="AL12" s="536"/>
      <c r="AM12" s="240"/>
      <c r="AO12" s="1547"/>
      <c r="AP12" s="1547" t="str">
        <f t="shared" si="0"/>
        <v>Добавить схему подключения</v>
      </c>
      <c r="AQ12" s="1547"/>
      <c r="AR12" s="1547"/>
      <c r="AS12" s="1554">
        <v>0</v>
      </c>
    </row>
    <row r="13" spans="1:45" s="1565" customFormat="1" ht="0.75" hidden="1" customHeight="1">
      <c r="A13" s="1888"/>
      <c r="B13" s="1888"/>
      <c r="C13" s="1888"/>
      <c r="D13" s="1888"/>
      <c r="E13" s="2531"/>
      <c r="F13" s="2531"/>
      <c r="G13" s="2530"/>
      <c r="H13" s="1888"/>
      <c r="I13" s="1888"/>
      <c r="J13" s="1888"/>
      <c r="K13" s="1888"/>
      <c r="L13" s="1303"/>
      <c r="M13" s="1533"/>
      <c r="N13" s="1533"/>
      <c r="O13" s="1558"/>
      <c r="P13" s="1239"/>
      <c r="Q13" s="1240"/>
      <c r="R13" s="1239"/>
      <c r="S13" s="1241"/>
      <c r="T13" s="1242" t="s">
        <v>433</v>
      </c>
      <c r="U13" s="1243"/>
      <c r="V13" s="1243"/>
      <c r="W13" s="1243"/>
      <c r="X13" s="1243"/>
      <c r="Y13" s="1243"/>
      <c r="Z13" s="1243"/>
      <c r="AA13" s="1243"/>
      <c r="AB13" s="1243"/>
      <c r="AC13" s="1243"/>
      <c r="AD13" s="1243"/>
      <c r="AE13" s="1243"/>
      <c r="AF13" s="1243"/>
      <c r="AG13" s="1243"/>
      <c r="AH13" s="1243"/>
      <c r="AI13" s="1243"/>
      <c r="AJ13" s="1243"/>
      <c r="AK13" s="1243"/>
      <c r="AL13" s="1243"/>
      <c r="AM13" s="1243"/>
      <c r="AO13" s="1174"/>
      <c r="AP13" s="1174" t="str">
        <f t="shared" si="0"/>
        <v>Добавить источник для дифференциации</v>
      </c>
      <c r="AQ13" s="1174"/>
      <c r="AR13" s="1174"/>
      <c r="AS13" s="1565">
        <v>0</v>
      </c>
    </row>
    <row r="14" spans="1:45" s="1565" customFormat="1" ht="0.75" hidden="1" customHeight="1">
      <c r="A14" s="1888"/>
      <c r="B14" s="1888"/>
      <c r="C14" s="1888"/>
      <c r="D14" s="1888"/>
      <c r="E14" s="2531"/>
      <c r="F14" s="2530"/>
      <c r="G14" s="1888"/>
      <c r="H14" s="1888"/>
      <c r="I14" s="1888"/>
      <c r="J14" s="1888"/>
      <c r="K14" s="1888"/>
      <c r="L14" s="1303"/>
      <c r="M14" s="1889"/>
      <c r="N14" s="1889"/>
      <c r="O14" s="1558"/>
      <c r="P14" s="1239"/>
      <c r="Q14" s="1240"/>
      <c r="R14" s="1239"/>
      <c r="S14" s="1245"/>
      <c r="T14" s="1246" t="s">
        <v>434</v>
      </c>
      <c r="U14" s="1247"/>
      <c r="V14" s="1247"/>
      <c r="W14" s="1247"/>
      <c r="X14" s="1247"/>
      <c r="Y14" s="1247"/>
      <c r="Z14" s="1247"/>
      <c r="AA14" s="1247"/>
      <c r="AB14" s="1247"/>
      <c r="AC14" s="1247"/>
      <c r="AD14" s="1247"/>
      <c r="AE14" s="1247"/>
      <c r="AF14" s="1247"/>
      <c r="AG14" s="1247"/>
      <c r="AH14" s="1247"/>
      <c r="AI14" s="1247"/>
      <c r="AJ14" s="1247"/>
      <c r="AK14" s="1247"/>
      <c r="AL14" s="1247"/>
      <c r="AM14" s="1247"/>
      <c r="AO14" s="1174"/>
      <c r="AP14" s="1174" t="str">
        <f t="shared" si="0"/>
        <v>Добавить централизованную систему для дифференциации</v>
      </c>
      <c r="AQ14" s="1174"/>
      <c r="AR14" s="1174"/>
      <c r="AS14" s="1565">
        <v>0</v>
      </c>
    </row>
    <row r="15" spans="1:45" s="1565" customFormat="1" ht="0.75" hidden="1" customHeight="1">
      <c r="A15" s="1888"/>
      <c r="B15" s="1888"/>
      <c r="C15" s="1888"/>
      <c r="D15" s="1888"/>
      <c r="E15" s="2530"/>
      <c r="F15" s="1888"/>
      <c r="G15" s="1888"/>
      <c r="H15" s="1888"/>
      <c r="I15" s="1888"/>
      <c r="J15" s="1888"/>
      <c r="K15" s="1888"/>
      <c r="L15" s="1303"/>
      <c r="M15" s="1889"/>
      <c r="N15" s="1889"/>
      <c r="O15" s="1558"/>
      <c r="P15" s="1239"/>
      <c r="Q15" s="1240"/>
      <c r="R15" s="1239"/>
      <c r="S15" s="1245"/>
      <c r="T15" s="1248" t="s">
        <v>435</v>
      </c>
      <c r="U15" s="1247"/>
      <c r="V15" s="1247"/>
      <c r="W15" s="1247"/>
      <c r="X15" s="1247"/>
      <c r="Y15" s="1247"/>
      <c r="Z15" s="1247"/>
      <c r="AA15" s="1247"/>
      <c r="AB15" s="1247"/>
      <c r="AC15" s="1247"/>
      <c r="AD15" s="1247"/>
      <c r="AE15" s="1247"/>
      <c r="AF15" s="1247"/>
      <c r="AG15" s="1247"/>
      <c r="AH15" s="1247"/>
      <c r="AI15" s="1247"/>
      <c r="AJ15" s="1247"/>
      <c r="AK15" s="1247"/>
      <c r="AL15" s="1247"/>
      <c r="AM15" s="1247"/>
      <c r="AO15" s="1174"/>
      <c r="AP15" s="1174" t="str">
        <f t="shared" si="0"/>
        <v>Добавить территорию для дифференциации</v>
      </c>
      <c r="AQ15" s="1174"/>
      <c r="AR15" s="1174"/>
      <c r="AS15" s="1565">
        <v>0</v>
      </c>
    </row>
    <row r="16" spans="1:45" ht="14.25" hidden="1" customHeight="1">
      <c r="AS16" s="1554">
        <v>0</v>
      </c>
    </row>
    <row r="17" spans="1:45" ht="14.25" hidden="1" customHeight="1">
      <c r="AD17" s="1283"/>
      <c r="AE17" s="1283"/>
      <c r="AF17" s="1283"/>
      <c r="AG17" s="1284"/>
      <c r="AH17" s="2511"/>
      <c r="AI17" s="2512" t="s">
        <v>63</v>
      </c>
      <c r="AJ17" s="2511"/>
      <c r="AK17" s="2512" t="s">
        <v>63</v>
      </c>
      <c r="AS17" s="1554">
        <v>0</v>
      </c>
    </row>
    <row r="18" spans="1:45" ht="14.25" hidden="1" customHeight="1">
      <c r="AD18" s="1283"/>
      <c r="AE18" s="1283"/>
      <c r="AF18" s="1283"/>
      <c r="AG18" s="265" t="str">
        <f>AH17&amp;"-"&amp;AJ17</f>
        <v>-</v>
      </c>
      <c r="AH18" s="2512"/>
      <c r="AI18" s="2512"/>
      <c r="AJ18" s="2512"/>
      <c r="AK18" s="2512"/>
      <c r="AS18" s="1554">
        <v>0</v>
      </c>
    </row>
    <row r="19" spans="1:45" ht="14.25" hidden="1" customHeight="1">
      <c r="AS19" s="1554">
        <v>0</v>
      </c>
    </row>
    <row r="20" spans="1:45" s="1289" customFormat="1" ht="22.5" hidden="1" customHeight="1">
      <c r="A20" s="1554"/>
      <c r="B20" s="1554"/>
      <c r="C20" s="1554"/>
      <c r="D20" s="1554"/>
      <c r="E20" s="1554"/>
      <c r="F20" s="1554"/>
      <c r="G20" s="1554"/>
      <c r="H20" s="1554"/>
      <c r="I20" s="1554"/>
      <c r="J20" s="1554"/>
      <c r="K20" s="1554"/>
      <c r="L20" s="1853"/>
      <c r="M20" s="1879"/>
      <c r="N20" s="1879"/>
      <c r="O20" s="1268" t="s">
        <v>436</v>
      </c>
      <c r="P20" s="1285"/>
      <c r="Q20" s="1294"/>
      <c r="R20" s="1294"/>
      <c r="S20" s="665"/>
      <c r="Z20" s="1290"/>
      <c r="AB20" s="1290"/>
      <c r="AH20" s="1290"/>
      <c r="AJ20" s="1290"/>
      <c r="AN20" s="1559"/>
      <c r="AO20" s="1559"/>
      <c r="AP20" s="1559"/>
      <c r="AQ20" s="1559"/>
      <c r="AR20" s="1559"/>
      <c r="AS20" s="1289">
        <v>0</v>
      </c>
    </row>
    <row r="21" spans="1:45" s="1289" customFormat="1" ht="14.25" hidden="1" customHeight="1">
      <c r="A21" s="1554"/>
      <c r="B21" s="1554"/>
      <c r="C21" s="1554"/>
      <c r="D21" s="1554"/>
      <c r="E21" s="1554"/>
      <c r="F21" s="1554"/>
      <c r="G21" s="1554"/>
      <c r="H21" s="1554"/>
      <c r="I21" s="1554"/>
      <c r="J21" s="1554"/>
      <c r="K21" s="1554"/>
      <c r="L21" s="1853"/>
      <c r="M21" s="1879"/>
      <c r="N21" s="1879"/>
      <c r="O21" s="1879"/>
      <c r="P21" s="1285"/>
      <c r="Q21" s="1294"/>
      <c r="R21" s="1294"/>
      <c r="S21" s="665"/>
      <c r="AN21" s="1559"/>
      <c r="AO21" s="1559"/>
      <c r="AP21" s="1559"/>
      <c r="AQ21" s="1559"/>
      <c r="AR21" s="1559"/>
      <c r="AS21" s="1289">
        <v>0</v>
      </c>
    </row>
    <row r="22" spans="1:45" s="1289" customFormat="1" ht="14.25" hidden="1" customHeight="1">
      <c r="A22" s="1554"/>
      <c r="B22" s="1554"/>
      <c r="C22" s="1554"/>
      <c r="D22" s="1554"/>
      <c r="E22" s="1554"/>
      <c r="F22" s="1554"/>
      <c r="G22" s="1554"/>
      <c r="H22" s="1554"/>
      <c r="I22" s="1554"/>
      <c r="J22" s="1554"/>
      <c r="K22" s="1554"/>
      <c r="L22" s="1853"/>
      <c r="M22" s="1879"/>
      <c r="N22" s="1879"/>
      <c r="O22" s="1233" t="s">
        <v>437</v>
      </c>
      <c r="P22" s="1285"/>
      <c r="Q22" s="1294"/>
      <c r="R22" s="1294"/>
      <c r="S22" s="665"/>
      <c r="T22" s="1289" t="s">
        <v>438</v>
      </c>
      <c r="AA22" s="531" t="s">
        <v>439</v>
      </c>
      <c r="AC22" s="531" t="s">
        <v>440</v>
      </c>
      <c r="AD22" s="1289" t="s">
        <v>438</v>
      </c>
      <c r="AI22" s="531" t="s">
        <v>441</v>
      </c>
      <c r="AK22" s="531" t="s">
        <v>440</v>
      </c>
      <c r="AN22" s="1559"/>
      <c r="AO22" s="1559"/>
      <c r="AP22" s="1559"/>
      <c r="AQ22" s="1559"/>
      <c r="AR22" s="1559"/>
      <c r="AS22" s="1289">
        <v>0</v>
      </c>
    </row>
    <row r="23" spans="1:45" ht="14.25" hidden="1" customHeight="1">
      <c r="O23" s="1233"/>
      <c r="AS23" s="1554">
        <v>0</v>
      </c>
    </row>
    <row r="24" spans="1:45" ht="14.25" hidden="1" customHeight="1">
      <c r="O24" s="1233"/>
      <c r="AS24" s="1554">
        <v>0</v>
      </c>
    </row>
    <row r="25" spans="1:45" ht="14.65" customHeight="1">
      <c r="Q25" s="312"/>
      <c r="R25" s="312"/>
      <c r="S25" s="1198"/>
      <c r="T25" s="393"/>
      <c r="U25" s="393"/>
      <c r="AS25" s="1554">
        <v>14</v>
      </c>
    </row>
    <row r="26" spans="1:45" ht="14.65" customHeight="1">
      <c r="Q26" s="312"/>
      <c r="R26" s="312"/>
      <c r="S26" s="249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90"/>
      <c r="U26" s="2490"/>
      <c r="V26" s="2490"/>
      <c r="W26" s="2490"/>
      <c r="X26" s="2490"/>
      <c r="Y26" s="2490"/>
      <c r="Z26" s="2490"/>
      <c r="AA26" s="2490"/>
      <c r="AB26" s="2490"/>
      <c r="AC26" s="2490"/>
      <c r="AD26" s="2490"/>
      <c r="AE26" s="2490"/>
      <c r="AF26" s="2490"/>
      <c r="AG26" s="2490"/>
      <c r="AH26" s="2490"/>
      <c r="AI26" s="2490"/>
      <c r="AJ26" s="2490"/>
      <c r="AK26" s="1166"/>
      <c r="AS26" s="1554">
        <v>14</v>
      </c>
    </row>
    <row r="27" spans="1:45" ht="14.65" customHeight="1">
      <c r="Q27" s="312"/>
      <c r="R27" s="312"/>
      <c r="S27" s="2436" t="str">
        <f>IF(org=0,"Не определено",org)</f>
        <v>ПАО "ТГК-2"</v>
      </c>
      <c r="T27" s="2436"/>
      <c r="U27" s="2436"/>
      <c r="V27" s="2436"/>
      <c r="W27" s="2436"/>
      <c r="X27" s="2436"/>
      <c r="Y27" s="2436"/>
      <c r="Z27" s="2436"/>
      <c r="AA27" s="2436"/>
      <c r="AB27" s="2436"/>
      <c r="AC27" s="2436"/>
      <c r="AD27" s="2436"/>
      <c r="AE27" s="2436"/>
      <c r="AF27" s="2436"/>
      <c r="AG27" s="2436"/>
      <c r="AH27" s="2436"/>
      <c r="AI27" s="2436"/>
      <c r="AJ27" s="2436"/>
      <c r="AK27" s="1166"/>
      <c r="AS27" s="1554">
        <v>14</v>
      </c>
    </row>
    <row r="28" spans="1:45" ht="14.25" hidden="1" customHeight="1">
      <c r="Q28" s="312"/>
      <c r="R28" s="312"/>
      <c r="S28" s="1198"/>
      <c r="T28" s="393"/>
      <c r="U28" s="393"/>
      <c r="V28" s="259"/>
      <c r="W28" s="259"/>
      <c r="X28" s="259"/>
      <c r="Y28" s="259"/>
      <c r="Z28" s="259"/>
      <c r="AA28" s="259"/>
      <c r="AB28" s="259"/>
      <c r="AC28" s="259"/>
      <c r="AD28" s="259"/>
      <c r="AE28" s="259"/>
      <c r="AF28" s="259"/>
      <c r="AG28" s="259"/>
      <c r="AH28" s="259"/>
      <c r="AI28" s="259"/>
      <c r="AJ28" s="259"/>
      <c r="AK28" s="259"/>
      <c r="AS28" s="1554">
        <v>0</v>
      </c>
    </row>
    <row r="29" spans="1:45" s="1770" customFormat="1" ht="25.5" hidden="1" customHeight="1">
      <c r="A29" s="1171"/>
      <c r="B29" s="1171"/>
      <c r="C29" s="1171"/>
      <c r="D29" s="1171"/>
      <c r="E29" s="1171"/>
      <c r="F29" s="1171"/>
      <c r="G29" s="1171"/>
      <c r="H29" s="1171"/>
      <c r="I29" s="1171"/>
      <c r="J29" s="1171"/>
      <c r="K29" s="1171"/>
      <c r="L29" s="1303"/>
      <c r="M29" s="1171"/>
      <c r="N29" s="1171"/>
      <c r="O29" s="1171"/>
      <c r="S29" s="249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498"/>
      <c r="U29" s="1295"/>
      <c r="V29" s="2499" t="str">
        <f>IF(TITLE_NAME_OR_PR_CHANGE="",IF(TITLE_NAME_OR_PR="","",TITLE_NAME_OR_PR),TITLE_NAME_OR_PR_CHANGE)</f>
        <v/>
      </c>
      <c r="W29" s="2499"/>
      <c r="X29" s="2499"/>
      <c r="Y29" s="2499"/>
      <c r="Z29" s="2499"/>
      <c r="AA29" s="2499"/>
      <c r="AB29" s="2499"/>
      <c r="AC29" s="1558"/>
      <c r="AD29" s="2499" t="str">
        <f>IF(TITLE_NAME_OR_PR_CHANGE="",IF(TITLE_NAME_OR_PR="","",TITLE_NAME_OR_PR),TITLE_NAME_OR_PR_CHANGE)</f>
        <v/>
      </c>
      <c r="AE29" s="2499"/>
      <c r="AF29" s="2499"/>
      <c r="AG29" s="2499"/>
      <c r="AH29" s="2499"/>
      <c r="AI29" s="2499"/>
      <c r="AJ29" s="2499"/>
      <c r="AK29" s="1558"/>
      <c r="AL29" s="1558"/>
      <c r="AM29" s="217"/>
      <c r="AN29" s="304"/>
      <c r="AO29" s="304"/>
      <c r="AP29" s="304"/>
      <c r="AQ29" s="304"/>
      <c r="AR29" s="304"/>
      <c r="AS29" s="354">
        <v>0</v>
      </c>
    </row>
    <row r="30" spans="1:45" s="1770" customFormat="1" ht="18.75" hidden="1" customHeight="1">
      <c r="A30" s="1171"/>
      <c r="B30" s="1171"/>
      <c r="C30" s="1171"/>
      <c r="D30" s="1171"/>
      <c r="E30" s="1171"/>
      <c r="F30" s="1171"/>
      <c r="G30" s="1171"/>
      <c r="H30" s="1171"/>
      <c r="I30" s="1171"/>
      <c r="J30" s="1171"/>
      <c r="K30" s="1171"/>
      <c r="L30" s="1303"/>
      <c r="M30" s="1171"/>
      <c r="N30" s="1171"/>
      <c r="O30" s="1171"/>
      <c r="S30" s="2498" t="str">
        <f>"Дата документа об "&amp;IF(TITLE_DATE_PR_CHANGE="","утверждении","изменении")&amp;" тарифов"</f>
        <v>Дата документа об утверждении тарифов</v>
      </c>
      <c r="T30" s="2498"/>
      <c r="U30" s="1295"/>
      <c r="V30" s="2508" t="str">
        <f>IF(TITLE_DATE_PR_CHANGE="",IF(TITLE_DATE_PR="","",TITLE_DATE_PR),TITLE_DATE_PR_CHANGE)</f>
        <v/>
      </c>
      <c r="W30" s="2508"/>
      <c r="X30" s="2508"/>
      <c r="Y30" s="2508"/>
      <c r="Z30" s="2508"/>
      <c r="AA30" s="2508"/>
      <c r="AB30" s="2508"/>
      <c r="AC30" s="1558"/>
      <c r="AD30" s="2508" t="str">
        <f>IF(TITLE_DATE_PR_CHANGE="",IF(TITLE_DATE_PR="","",TITLE_DATE_PR),TITLE_DATE_PR_CHANGE)</f>
        <v/>
      </c>
      <c r="AE30" s="2508"/>
      <c r="AF30" s="2508"/>
      <c r="AG30" s="2508"/>
      <c r="AH30" s="2508"/>
      <c r="AI30" s="2508"/>
      <c r="AJ30" s="2508"/>
      <c r="AK30" s="1558"/>
      <c r="AL30" s="1558"/>
      <c r="AM30" s="217"/>
      <c r="AN30" s="304"/>
      <c r="AO30" s="304"/>
      <c r="AP30" s="304"/>
      <c r="AQ30" s="304"/>
      <c r="AR30" s="304"/>
      <c r="AS30" s="354">
        <v>0</v>
      </c>
    </row>
    <row r="31" spans="1:45" s="1770" customFormat="1" ht="18.75" hidden="1" customHeight="1">
      <c r="A31" s="1171"/>
      <c r="B31" s="1171"/>
      <c r="C31" s="1171"/>
      <c r="D31" s="1171"/>
      <c r="E31" s="1171"/>
      <c r="F31" s="1171"/>
      <c r="G31" s="1171"/>
      <c r="H31" s="1171"/>
      <c r="I31" s="1171"/>
      <c r="J31" s="1171"/>
      <c r="K31" s="1171"/>
      <c r="L31" s="1303"/>
      <c r="M31" s="1171"/>
      <c r="N31" s="1171"/>
      <c r="O31" s="1171"/>
      <c r="S31" s="2498" t="str">
        <f>"Номер документа об "&amp;IF(TITLE_DATE_PR_CHANGE="","утверждении","изменении")&amp;" тарифов"</f>
        <v>Номер документа об утверждении тарифов</v>
      </c>
      <c r="T31" s="2498"/>
      <c r="U31" s="1295"/>
      <c r="V31" s="2499" t="str">
        <f>IF(TITLE_NUMBER_PR_CHANGE="",IF(TITLE_NUMBER_PR="","",TITLE_NUMBER_PR),TITLE_NUMBER_PR_CHANGE)</f>
        <v/>
      </c>
      <c r="W31" s="2499"/>
      <c r="X31" s="2499"/>
      <c r="Y31" s="2499"/>
      <c r="Z31" s="2499"/>
      <c r="AA31" s="2499"/>
      <c r="AB31" s="2499"/>
      <c r="AC31" s="1558"/>
      <c r="AD31" s="2499" t="str">
        <f>IF(TITLE_NUMBER_PR_CHANGE="",IF(TITLE_NUMBER_PR="","",TITLE_NUMBER_PR),TITLE_NUMBER_PR_CHANGE)</f>
        <v/>
      </c>
      <c r="AE31" s="2499"/>
      <c r="AF31" s="2499"/>
      <c r="AG31" s="2499"/>
      <c r="AH31" s="2499"/>
      <c r="AI31" s="2499"/>
      <c r="AJ31" s="2499"/>
      <c r="AK31" s="1558"/>
      <c r="AL31" s="1558"/>
      <c r="AM31" s="217"/>
      <c r="AN31" s="304"/>
      <c r="AO31" s="304"/>
      <c r="AP31" s="304"/>
      <c r="AQ31" s="304"/>
      <c r="AR31" s="304"/>
      <c r="AS31" s="354">
        <v>0</v>
      </c>
    </row>
    <row r="32" spans="1:45" s="1770" customFormat="1" ht="18.75" hidden="1" customHeight="1">
      <c r="A32" s="1171"/>
      <c r="B32" s="1171"/>
      <c r="C32" s="1171"/>
      <c r="D32" s="1171"/>
      <c r="E32" s="1171"/>
      <c r="F32" s="1171"/>
      <c r="G32" s="1171"/>
      <c r="H32" s="1171"/>
      <c r="I32" s="1171"/>
      <c r="J32" s="1171"/>
      <c r="K32" s="1171"/>
      <c r="L32" s="1303"/>
      <c r="M32" s="1171"/>
      <c r="N32" s="1171"/>
      <c r="O32" s="1171"/>
      <c r="S32" s="2498" t="s">
        <v>43</v>
      </c>
      <c r="T32" s="2498"/>
      <c r="U32" s="1295"/>
      <c r="V32" s="2499" t="str">
        <f>IF(TITLE_IST_PUB_CHANGE="",IF(TITLE_IST_PUB="","",TITLE_IST_PUB),TITLE_IST_PUB_CHANGE)</f>
        <v/>
      </c>
      <c r="W32" s="2499"/>
      <c r="X32" s="2499"/>
      <c r="Y32" s="2499"/>
      <c r="Z32" s="2499"/>
      <c r="AA32" s="2499"/>
      <c r="AB32" s="2499"/>
      <c r="AC32" s="1558"/>
      <c r="AD32" s="2499" t="str">
        <f>IF(TITLE_IST_PUB_CHANGE="",IF(TITLE_IST_PUB="","",TITLE_IST_PUB),TITLE_IST_PUB_CHANGE)</f>
        <v/>
      </c>
      <c r="AE32" s="2499"/>
      <c r="AF32" s="2499"/>
      <c r="AG32" s="2499"/>
      <c r="AH32" s="2499"/>
      <c r="AI32" s="2499"/>
      <c r="AJ32" s="2499"/>
      <c r="AK32" s="1558"/>
      <c r="AL32" s="1558"/>
      <c r="AM32" s="217"/>
      <c r="AN32" s="304"/>
      <c r="AO32" s="304"/>
      <c r="AP32" s="304"/>
      <c r="AQ32" s="304"/>
      <c r="AR32" s="304"/>
      <c r="AS32" s="354">
        <v>0</v>
      </c>
    </row>
    <row r="33" spans="1:45" ht="14.25" hidden="1" customHeight="1">
      <c r="Q33" s="312"/>
      <c r="R33" s="312"/>
      <c r="S33" s="1198"/>
      <c r="T33" s="393"/>
      <c r="U33" s="393"/>
      <c r="V33" s="259"/>
      <c r="W33" s="259"/>
      <c r="X33" s="259"/>
      <c r="Y33" s="259"/>
      <c r="Z33" s="259"/>
      <c r="AA33" s="259"/>
      <c r="AB33" s="259"/>
      <c r="AC33" s="259"/>
      <c r="AD33" s="259"/>
      <c r="AE33" s="259"/>
      <c r="AF33" s="259"/>
      <c r="AG33" s="259"/>
      <c r="AH33" s="259"/>
      <c r="AI33" s="259"/>
      <c r="AJ33" s="259"/>
      <c r="AK33" s="259"/>
      <c r="AS33" s="1554">
        <v>0</v>
      </c>
    </row>
    <row r="34" spans="1:45" s="1770" customFormat="1" ht="18.75" hidden="1" customHeight="1">
      <c r="A34" s="1171"/>
      <c r="B34" s="1171"/>
      <c r="C34" s="1171"/>
      <c r="D34" s="1171"/>
      <c r="E34" s="1171"/>
      <c r="F34" s="1171"/>
      <c r="G34" s="1171"/>
      <c r="H34" s="1171"/>
      <c r="I34" s="1171"/>
      <c r="J34" s="1171"/>
      <c r="K34" s="1171"/>
      <c r="L34" s="1303"/>
      <c r="M34" s="1171"/>
      <c r="N34" s="1171"/>
      <c r="O34" s="1171"/>
      <c r="S34" s="2498" t="str">
        <f>"Дата подачи заявления об "&amp;IF(TITLE_DATE_PR_CHANGE="","утверждении","изменении")&amp;" тарифов"</f>
        <v>Дата подачи заявления об утверждении тарифов</v>
      </c>
      <c r="T34" s="2498"/>
      <c r="U34" s="1295"/>
      <c r="V34" s="2508" t="str">
        <f>IF(TITLE_DATE_PR_CHANGE="",IF(TITLE_DATE_PR="","",TITLE_DATE_PR),TITLE_DATE_PR_CHANGE)</f>
        <v/>
      </c>
      <c r="W34" s="2508"/>
      <c r="X34" s="2508"/>
      <c r="Y34" s="2508"/>
      <c r="Z34" s="2508"/>
      <c r="AA34" s="2508"/>
      <c r="AB34" s="2508"/>
      <c r="AC34" s="1558"/>
      <c r="AD34" s="2508" t="str">
        <f>IF(TITLE_DATE_PR_CHANGE="",IF(TITLE_DATE_PR="","",TITLE_DATE_PR),TITLE_DATE_PR_CHANGE)</f>
        <v/>
      </c>
      <c r="AE34" s="2508"/>
      <c r="AF34" s="2508"/>
      <c r="AG34" s="2508"/>
      <c r="AH34" s="2508"/>
      <c r="AI34" s="2508"/>
      <c r="AJ34" s="2508"/>
      <c r="AK34" s="1558"/>
      <c r="AL34" s="1558"/>
      <c r="AM34" s="217"/>
      <c r="AN34" s="304"/>
      <c r="AO34" s="304"/>
      <c r="AP34" s="304"/>
      <c r="AQ34" s="304"/>
      <c r="AR34" s="304"/>
      <c r="AS34" s="354">
        <v>0</v>
      </c>
    </row>
    <row r="35" spans="1:45" s="1770" customFormat="1" ht="18.75" hidden="1" customHeight="1">
      <c r="A35" s="1171"/>
      <c r="B35" s="1171"/>
      <c r="C35" s="1171"/>
      <c r="D35" s="1171"/>
      <c r="E35" s="1171"/>
      <c r="F35" s="1171"/>
      <c r="G35" s="1171"/>
      <c r="H35" s="1171"/>
      <c r="I35" s="1171"/>
      <c r="J35" s="1171"/>
      <c r="K35" s="1171"/>
      <c r="L35" s="1303"/>
      <c r="M35" s="1171"/>
      <c r="N35" s="1171"/>
      <c r="O35" s="1171"/>
      <c r="S35" s="2498" t="str">
        <f>"Номер подачи заявления об "&amp;IF(TITLE_DATE_PR_CHANGE="","утверждении","изменении")&amp;" тарифов"</f>
        <v>Номер подачи заявления об утверждении тарифов</v>
      </c>
      <c r="T35" s="2498"/>
      <c r="U35" s="1295"/>
      <c r="V35" s="2499" t="str">
        <f>IF(TITLE_NUMBER_PR_CHANGE="",IF(TITLE_NUMBER_PR="","",TITLE_NUMBER_PR),TITLE_NUMBER_PR_CHANGE)</f>
        <v/>
      </c>
      <c r="W35" s="2499"/>
      <c r="X35" s="2499"/>
      <c r="Y35" s="2499"/>
      <c r="Z35" s="2499"/>
      <c r="AA35" s="2499"/>
      <c r="AB35" s="2499"/>
      <c r="AC35" s="1558"/>
      <c r="AD35" s="2499" t="str">
        <f>IF(TITLE_NUMBER_PR_CHANGE="",IF(TITLE_NUMBER_PR="","",TITLE_NUMBER_PR),TITLE_NUMBER_PR_CHANGE)</f>
        <v/>
      </c>
      <c r="AE35" s="2499"/>
      <c r="AF35" s="2499"/>
      <c r="AG35" s="2499"/>
      <c r="AH35" s="2499"/>
      <c r="AI35" s="2499"/>
      <c r="AJ35" s="2499"/>
      <c r="AK35" s="1558"/>
      <c r="AL35" s="1558"/>
      <c r="AM35" s="217"/>
      <c r="AN35" s="304"/>
      <c r="AO35" s="304"/>
      <c r="AP35" s="304"/>
      <c r="AQ35" s="304"/>
      <c r="AR35" s="304"/>
      <c r="AS35" s="354">
        <v>0</v>
      </c>
    </row>
    <row r="36" spans="1:45" s="1770" customFormat="1" ht="0" hidden="1" customHeight="1">
      <c r="A36" s="1171"/>
      <c r="B36" s="1171"/>
      <c r="C36" s="1171"/>
      <c r="D36" s="1171"/>
      <c r="E36" s="1171"/>
      <c r="F36" s="1171"/>
      <c r="G36" s="1171"/>
      <c r="H36" s="1171"/>
      <c r="I36" s="1171"/>
      <c r="J36" s="1171"/>
      <c r="K36" s="1171"/>
      <c r="L36" s="1303"/>
      <c r="M36" s="1171"/>
      <c r="N36" s="1171"/>
      <c r="O36" s="1171"/>
      <c r="S36" s="1558"/>
      <c r="T36" s="1558"/>
      <c r="U36" s="1884"/>
      <c r="V36" s="1558"/>
      <c r="W36" s="1558"/>
      <c r="X36" s="1558"/>
      <c r="Y36" s="1558"/>
      <c r="Z36" s="1558"/>
      <c r="AA36" s="1558"/>
      <c r="AB36" s="1558"/>
      <c r="AC36" s="1565" t="s">
        <v>442</v>
      </c>
      <c r="AD36" s="1558"/>
      <c r="AE36" s="1558"/>
      <c r="AF36" s="1558"/>
      <c r="AG36" s="1558"/>
      <c r="AH36" s="1558"/>
      <c r="AI36" s="1558"/>
      <c r="AJ36" s="1558"/>
      <c r="AK36" s="1565" t="s">
        <v>442</v>
      </c>
      <c r="AN36" s="304"/>
      <c r="AO36" s="304"/>
      <c r="AP36" s="304"/>
      <c r="AQ36" s="304"/>
      <c r="AR36" s="304"/>
      <c r="AS36" s="354">
        <v>0</v>
      </c>
    </row>
    <row r="37" spans="1:45" ht="14.65" customHeight="1">
      <c r="Q37" s="312"/>
      <c r="R37" s="312"/>
      <c r="S37" s="1198"/>
      <c r="T37" s="393"/>
      <c r="U37" s="1167"/>
      <c r="V37" s="2500"/>
      <c r="W37" s="2500"/>
      <c r="X37" s="2500"/>
      <c r="Y37" s="2500"/>
      <c r="Z37" s="2500"/>
      <c r="AA37" s="2500"/>
      <c r="AB37" s="2500"/>
      <c r="AC37" s="2500"/>
      <c r="AD37" s="2500"/>
      <c r="AE37" s="2500"/>
      <c r="AF37" s="2500"/>
      <c r="AG37" s="2500"/>
      <c r="AH37" s="2500"/>
      <c r="AI37" s="2500"/>
      <c r="AJ37" s="2500"/>
      <c r="AK37" s="2500"/>
      <c r="AS37" s="1554">
        <v>14</v>
      </c>
    </row>
    <row r="38" spans="1:45" ht="14.65" customHeight="1">
      <c r="Q38" s="312"/>
      <c r="R38" s="312"/>
      <c r="S38" s="2371" t="s">
        <v>319</v>
      </c>
      <c r="T38" s="2371"/>
      <c r="U38" s="2371"/>
      <c r="V38" s="2371"/>
      <c r="W38" s="2371"/>
      <c r="X38" s="2371"/>
      <c r="Y38" s="2371"/>
      <c r="Z38" s="2371"/>
      <c r="AA38" s="2371"/>
      <c r="AB38" s="2371"/>
      <c r="AC38" s="2371"/>
      <c r="AD38" s="2371"/>
      <c r="AE38" s="2371"/>
      <c r="AF38" s="2371"/>
      <c r="AG38" s="2371"/>
      <c r="AH38" s="2371"/>
      <c r="AI38" s="2371"/>
      <c r="AJ38" s="2371"/>
      <c r="AK38" s="2371"/>
      <c r="AL38" s="2371"/>
      <c r="AM38" s="2371" t="s">
        <v>320</v>
      </c>
      <c r="AS38" s="1554">
        <v>14</v>
      </c>
    </row>
    <row r="39" spans="1:45" ht="14.65" customHeight="1">
      <c r="Q39" s="312"/>
      <c r="R39" s="312"/>
      <c r="S39" s="2514" t="s">
        <v>89</v>
      </c>
      <c r="T39" s="2466" t="s">
        <v>443</v>
      </c>
      <c r="U39" s="274"/>
      <c r="V39" s="2515" t="s">
        <v>444</v>
      </c>
      <c r="W39" s="2516"/>
      <c r="X39" s="2516"/>
      <c r="Y39" s="2516"/>
      <c r="Z39" s="2516"/>
      <c r="AA39" s="2516"/>
      <c r="AB39" s="2517"/>
      <c r="AC39" s="2518" t="s">
        <v>445</v>
      </c>
      <c r="AD39" s="2515" t="s">
        <v>444</v>
      </c>
      <c r="AE39" s="2516"/>
      <c r="AF39" s="2516"/>
      <c r="AG39" s="2516"/>
      <c r="AH39" s="2516"/>
      <c r="AI39" s="2516"/>
      <c r="AJ39" s="2517"/>
      <c r="AK39" s="2518" t="s">
        <v>446</v>
      </c>
      <c r="AL39" s="2521" t="s">
        <v>447</v>
      </c>
      <c r="AM39" s="2371"/>
      <c r="AS39" s="1554">
        <v>14</v>
      </c>
    </row>
    <row r="40" spans="1:45" ht="35.65" customHeight="1">
      <c r="Q40" s="312"/>
      <c r="R40" s="312"/>
      <c r="S40" s="2514"/>
      <c r="T40" s="2466"/>
      <c r="U40" s="958"/>
      <c r="V40" s="2435" t="s">
        <v>448</v>
      </c>
      <c r="W40" s="2524" t="s">
        <v>449</v>
      </c>
      <c r="X40" s="2350" t="s">
        <v>450</v>
      </c>
      <c r="Y40" s="2349"/>
      <c r="Z40" s="2350" t="s">
        <v>464</v>
      </c>
      <c r="AA40" s="2356"/>
      <c r="AB40" s="2349"/>
      <c r="AC40" s="2519"/>
      <c r="AD40" s="2435" t="s">
        <v>448</v>
      </c>
      <c r="AE40" s="2524" t="s">
        <v>449</v>
      </c>
      <c r="AF40" s="2350" t="s">
        <v>450</v>
      </c>
      <c r="AG40" s="2349"/>
      <c r="AH40" s="2350" t="s">
        <v>451</v>
      </c>
      <c r="AI40" s="2356"/>
      <c r="AJ40" s="2349"/>
      <c r="AK40" s="2519"/>
      <c r="AL40" s="2522"/>
      <c r="AM40" s="2371"/>
      <c r="AS40" s="1554">
        <v>34</v>
      </c>
    </row>
    <row r="41" spans="1:45" ht="35.65" customHeight="1">
      <c r="A41" s="1189"/>
      <c r="B41" s="1189" t="s">
        <v>156</v>
      </c>
      <c r="C41" s="1189" t="s">
        <v>157</v>
      </c>
      <c r="D41" s="1189" t="s">
        <v>158</v>
      </c>
      <c r="E41" s="1233" t="s">
        <v>452</v>
      </c>
      <c r="F41" s="1233" t="s">
        <v>453</v>
      </c>
      <c r="G41" s="1233" t="s">
        <v>454</v>
      </c>
      <c r="H41" s="1233" t="s">
        <v>455</v>
      </c>
      <c r="I41" s="1233" t="s">
        <v>456</v>
      </c>
      <c r="J41" s="1233" t="s">
        <v>457</v>
      </c>
      <c r="K41" s="1233" t="s">
        <v>458</v>
      </c>
      <c r="L41" s="1233" t="s">
        <v>437</v>
      </c>
      <c r="Q41" s="312"/>
      <c r="R41" s="312"/>
      <c r="S41" s="2514"/>
      <c r="T41" s="2466"/>
      <c r="U41" s="239"/>
      <c r="V41" s="2485"/>
      <c r="W41" s="2525"/>
      <c r="X41" s="1852" t="s">
        <v>459</v>
      </c>
      <c r="Y41" s="1852" t="s">
        <v>460</v>
      </c>
      <c r="Z41" s="1852" t="s">
        <v>461</v>
      </c>
      <c r="AA41" s="2474" t="s">
        <v>462</v>
      </c>
      <c r="AB41" s="2476"/>
      <c r="AC41" s="2520"/>
      <c r="AD41" s="2485"/>
      <c r="AE41" s="2525"/>
      <c r="AF41" s="1852" t="s">
        <v>459</v>
      </c>
      <c r="AG41" s="1852" t="s">
        <v>460</v>
      </c>
      <c r="AH41" s="1852" t="s">
        <v>461</v>
      </c>
      <c r="AI41" s="2474" t="s">
        <v>462</v>
      </c>
      <c r="AJ41" s="2476"/>
      <c r="AK41" s="2520"/>
      <c r="AL41" s="2523"/>
      <c r="AM41" s="2371"/>
      <c r="AS41" s="1554">
        <v>34</v>
      </c>
    </row>
    <row r="42" spans="1:45" s="1564" customFormat="1" ht="11.25" hidden="1" customHeight="1">
      <c r="A42" s="1189"/>
      <c r="B42" s="1189"/>
      <c r="C42" s="1189"/>
      <c r="D42" s="1189"/>
      <c r="E42" s="1189"/>
      <c r="F42" s="1189"/>
      <c r="G42" s="1189"/>
      <c r="H42" s="1189"/>
      <c r="I42" s="1189"/>
      <c r="J42" s="1189"/>
      <c r="K42" s="1189"/>
      <c r="L42" s="1233"/>
      <c r="M42" s="1879"/>
      <c r="N42" s="1879"/>
      <c r="O42" s="1879"/>
      <c r="P42" s="1169"/>
      <c r="Q42" s="1170"/>
      <c r="R42" s="1177">
        <v>1</v>
      </c>
      <c r="S42" s="1200" t="s">
        <v>100</v>
      </c>
      <c r="T42" s="1178" t="s">
        <v>103</v>
      </c>
      <c r="U42" s="1168" t="str">
        <f ca="1">OFFSET(U42,0,-1)</f>
        <v>2</v>
      </c>
      <c r="V42" s="1870">
        <f ca="1">OFFSET(V42,0,-1)+1</f>
        <v>3</v>
      </c>
      <c r="W42" s="1870"/>
      <c r="X42" s="1870">
        <f ca="1">OFFSET(X42,0,-1)+1</f>
        <v>1</v>
      </c>
      <c r="Y42" s="1870">
        <f ca="1">OFFSET(Y42,0,-1)+1</f>
        <v>2</v>
      </c>
      <c r="Z42" s="1870">
        <f ca="1">OFFSET(Z42,0,-1)+1</f>
        <v>3</v>
      </c>
      <c r="AA42" s="2513">
        <f ca="1">OFFSET(AA42,0,-1)+1</f>
        <v>4</v>
      </c>
      <c r="AB42" s="2513"/>
      <c r="AC42" s="1870">
        <f ca="1">OFFSET(AC42,0,-2)+1</f>
        <v>5</v>
      </c>
      <c r="AD42" s="1870">
        <f ca="1">OFFSET(AD42,0,-1)+1</f>
        <v>6</v>
      </c>
      <c r="AE42" s="1870"/>
      <c r="AF42" s="1870">
        <f ca="1">OFFSET(AF42,0,-1)+1</f>
        <v>1</v>
      </c>
      <c r="AG42" s="1870">
        <f ca="1">OFFSET(AG42,0,-1)+1</f>
        <v>2</v>
      </c>
      <c r="AH42" s="1870">
        <f ca="1">OFFSET(AH42,0,-1)+1</f>
        <v>3</v>
      </c>
      <c r="AI42" s="2513">
        <f ca="1">OFFSET(AI42,0,-1)+1</f>
        <v>4</v>
      </c>
      <c r="AJ42" s="2513"/>
      <c r="AK42" s="1870">
        <f ca="1">OFFSET(AK42,0,-2)+1</f>
        <v>5</v>
      </c>
      <c r="AL42" s="1168">
        <f ca="1">OFFSET(AL42,0,-1)</f>
        <v>5</v>
      </c>
      <c r="AM42" s="1870">
        <f ca="1">OFFSET(AM42,0,-1)+1</f>
        <v>6</v>
      </c>
      <c r="AN42" s="1559"/>
      <c r="AO42" s="1559"/>
      <c r="AP42" s="1559"/>
      <c r="AQ42" s="1559"/>
      <c r="AR42" s="1559"/>
      <c r="AS42" s="1564">
        <v>0</v>
      </c>
    </row>
    <row r="43" spans="1:45" ht="21.95" customHeight="1">
      <c r="A43" s="1190" t="s">
        <v>231</v>
      </c>
      <c r="B43" s="1190"/>
      <c r="C43" s="1190"/>
      <c r="D43" s="1190"/>
      <c r="E43" s="2530">
        <v>1</v>
      </c>
      <c r="F43" s="1190"/>
      <c r="G43" s="1190"/>
      <c r="H43" s="1190"/>
      <c r="I43" s="1190"/>
      <c r="J43" s="1190"/>
      <c r="K43" s="1190"/>
      <c r="L43" s="1233"/>
      <c r="M43" s="1533"/>
      <c r="N43" s="1533"/>
      <c r="O43" s="1533"/>
      <c r="P43" s="1513"/>
      <c r="Q43" s="296"/>
      <c r="R43" s="291"/>
      <c r="S43" s="1872">
        <f>INDEX(PT_DIFFERENTIATION_NUM_NTAR,MATCH(A43,PT_DIFFERENTIATION_NTAR_ID,0))</f>
        <v>0</v>
      </c>
      <c r="T43" s="1448" t="s">
        <v>144</v>
      </c>
      <c r="U43" s="237"/>
      <c r="V43" s="2492"/>
      <c r="W43" s="2493"/>
      <c r="X43" s="2493"/>
      <c r="Y43" s="2493"/>
      <c r="Z43" s="2493"/>
      <c r="AA43" s="2493"/>
      <c r="AB43" s="2493"/>
      <c r="AC43" s="2494"/>
      <c r="AD43" s="2492" t="str">
        <f>INDEX(PT_DIFFERENTIATION_NTAR,MATCH(A43,PT_DIFFERENTIATION_NTAR_ID,0))</f>
        <v/>
      </c>
      <c r="AE43" s="2493"/>
      <c r="AF43" s="2493"/>
      <c r="AG43" s="2493"/>
      <c r="AH43" s="2493"/>
      <c r="AI43" s="2493"/>
      <c r="AJ43" s="2493"/>
      <c r="AK43" s="2493"/>
      <c r="AL43" s="2494"/>
      <c r="AM43" s="118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7"/>
      <c r="AP43" s="1547" t="str">
        <f t="shared" ref="AP43:AP57" si="1">IF(T43="","",T43)</f>
        <v>Наименование тарифа</v>
      </c>
      <c r="AQ43" s="1547"/>
      <c r="AR43" s="1547"/>
      <c r="AS43" s="1554">
        <v>21</v>
      </c>
    </row>
    <row r="44" spans="1:45" ht="21.95" customHeight="1">
      <c r="A44" s="1190" t="s">
        <v>231</v>
      </c>
      <c r="B44" s="1190" t="s">
        <v>232</v>
      </c>
      <c r="C44" s="1190"/>
      <c r="D44" s="1190"/>
      <c r="E44" s="2531"/>
      <c r="F44" s="2530">
        <v>1</v>
      </c>
      <c r="G44" s="1190"/>
      <c r="H44" s="1190"/>
      <c r="I44" s="1190"/>
      <c r="J44" s="1190"/>
      <c r="K44" s="1190"/>
      <c r="L44" s="1233"/>
      <c r="M44" s="1533"/>
      <c r="N44" s="1533"/>
      <c r="O44" s="1533"/>
      <c r="P44" s="1854"/>
      <c r="Q44" s="288"/>
      <c r="R44" s="289"/>
      <c r="S44" s="1872" t="str">
        <f>INDEX(PT_DIFFERENTIATION_NUM_TER,MATCH(B44,PT_DIFFERENTIATION_TER_ID,0))</f>
        <v>.</v>
      </c>
      <c r="T44" s="1445" t="s">
        <v>416</v>
      </c>
      <c r="U44" s="237"/>
      <c r="V44" s="2492"/>
      <c r="W44" s="2493"/>
      <c r="X44" s="2493"/>
      <c r="Y44" s="2493"/>
      <c r="Z44" s="2493"/>
      <c r="AA44" s="2493"/>
      <c r="AB44" s="2493"/>
      <c r="AC44" s="2494"/>
      <c r="AD44" s="2492" t="str">
        <f>INDEX(PT_DIFFERENTIATION_TER,MATCH(B44,PT_DIFFERENTIATION_TER_ID,0))</f>
        <v/>
      </c>
      <c r="AE44" s="2493"/>
      <c r="AF44" s="2493"/>
      <c r="AG44" s="2493"/>
      <c r="AH44" s="2493"/>
      <c r="AI44" s="2493"/>
      <c r="AJ44" s="2493"/>
      <c r="AK44" s="2493"/>
      <c r="AL44" s="2494"/>
      <c r="AM44" s="1181" t="s">
        <v>417</v>
      </c>
      <c r="AO44" s="1547"/>
      <c r="AP44" s="1547" t="str">
        <f t="shared" si="1"/>
        <v>Территория действия тарифа</v>
      </c>
      <c r="AQ44" s="1547"/>
      <c r="AR44" s="1547"/>
      <c r="AS44" s="1554">
        <v>21</v>
      </c>
    </row>
    <row r="45" spans="1:45" ht="24" customHeight="1">
      <c r="A45" s="1190" t="s">
        <v>231</v>
      </c>
      <c r="B45" s="1190" t="s">
        <v>232</v>
      </c>
      <c r="C45" s="1190" t="s">
        <v>233</v>
      </c>
      <c r="D45" s="1190"/>
      <c r="E45" s="2531"/>
      <c r="F45" s="2531"/>
      <c r="G45" s="2530">
        <v>1</v>
      </c>
      <c r="H45" s="1190"/>
      <c r="I45" s="1190"/>
      <c r="J45" s="1190"/>
      <c r="K45" s="1190"/>
      <c r="L45" s="1233"/>
      <c r="M45" s="1533"/>
      <c r="N45" s="1533"/>
      <c r="O45" s="1533"/>
      <c r="P45" s="290"/>
      <c r="Q45" s="288"/>
      <c r="R45" s="289"/>
      <c r="S45" s="1872" t="str">
        <f>INDEX(PT_DIFFERENTIATION_NUM_CS,MATCH(C45,PT_DIFFERENTIATION_CS_ID,0))</f>
        <v>..</v>
      </c>
      <c r="T45" s="246" t="s">
        <v>418</v>
      </c>
      <c r="U45" s="237"/>
      <c r="V45" s="2492"/>
      <c r="W45" s="2493"/>
      <c r="X45" s="2493"/>
      <c r="Y45" s="2493"/>
      <c r="Z45" s="2493"/>
      <c r="AA45" s="2493"/>
      <c r="AB45" s="2493"/>
      <c r="AC45" s="2494"/>
      <c r="AD45" s="2492" t="str">
        <f>INDEX(PT_DIFFERENTIATION_CS,MATCH(C45,PT_DIFFERENTIATION_CS_ID,0))</f>
        <v/>
      </c>
      <c r="AE45" s="2493"/>
      <c r="AF45" s="2493"/>
      <c r="AG45" s="2493"/>
      <c r="AH45" s="2493"/>
      <c r="AI45" s="2493"/>
      <c r="AJ45" s="2493"/>
      <c r="AK45" s="2493"/>
      <c r="AL45" s="2494"/>
      <c r="AM45" s="1181" t="s">
        <v>419</v>
      </c>
      <c r="AO45" s="1547"/>
      <c r="AP45" s="1547" t="str">
        <f t="shared" si="1"/>
        <v xml:space="preserve">Наименование системы теплоснабжения </v>
      </c>
      <c r="AQ45" s="1547"/>
      <c r="AR45" s="1547"/>
      <c r="AS45" s="1554">
        <v>23</v>
      </c>
    </row>
    <row r="46" spans="1:45" ht="21.95" customHeight="1">
      <c r="A46" s="1190" t="s">
        <v>231</v>
      </c>
      <c r="B46" s="1190" t="s">
        <v>232</v>
      </c>
      <c r="C46" s="1190" t="s">
        <v>233</v>
      </c>
      <c r="D46" s="1190" t="s">
        <v>234</v>
      </c>
      <c r="E46" s="2531"/>
      <c r="F46" s="2531"/>
      <c r="G46" s="2531"/>
      <c r="H46" s="2530">
        <v>1</v>
      </c>
      <c r="I46" s="1190"/>
      <c r="J46" s="1190"/>
      <c r="K46" s="1190"/>
      <c r="L46" s="1233"/>
      <c r="M46" s="1533"/>
      <c r="N46" s="1533"/>
      <c r="O46" s="1533"/>
      <c r="P46" s="290"/>
      <c r="Q46" s="288"/>
      <c r="R46" s="289"/>
      <c r="S46" s="1872" t="str">
        <f>INDEX(PT_DIFFERENTIATION_NUM_IST_TE,MATCH(D46,PT_DIFFERENTIATION_IST_TE_ID,0))</f>
        <v>...</v>
      </c>
      <c r="T46" s="247" t="s">
        <v>420</v>
      </c>
      <c r="U46" s="237"/>
      <c r="V46" s="2492"/>
      <c r="W46" s="2493"/>
      <c r="X46" s="2493"/>
      <c r="Y46" s="2493"/>
      <c r="Z46" s="2493"/>
      <c r="AA46" s="2493"/>
      <c r="AB46" s="2493"/>
      <c r="AC46" s="2494"/>
      <c r="AD46" s="2492" t="str">
        <f>INDEX(PT_DIFFERENTIATION_IST_TE,MATCH(D46,PT_DIFFERENTIATION_IST_TE_ID,0))</f>
        <v/>
      </c>
      <c r="AE46" s="2493"/>
      <c r="AF46" s="2493"/>
      <c r="AG46" s="2493"/>
      <c r="AH46" s="2493"/>
      <c r="AI46" s="2493"/>
      <c r="AJ46" s="2493"/>
      <c r="AK46" s="2493"/>
      <c r="AL46" s="2494"/>
      <c r="AM46" s="1181" t="s">
        <v>421</v>
      </c>
      <c r="AO46" s="1547"/>
      <c r="AP46" s="1547" t="str">
        <f t="shared" si="1"/>
        <v xml:space="preserve">Источник тепловой энергии  </v>
      </c>
      <c r="AQ46" s="1547"/>
      <c r="AR46" s="1547"/>
      <c r="AS46" s="1554">
        <v>21</v>
      </c>
    </row>
    <row r="47" spans="1:45" ht="49.5" customHeight="1">
      <c r="A47" s="1190" t="s">
        <v>231</v>
      </c>
      <c r="B47" s="1190" t="s">
        <v>232</v>
      </c>
      <c r="C47" s="1190" t="s">
        <v>233</v>
      </c>
      <c r="D47" s="1190" t="s">
        <v>234</v>
      </c>
      <c r="E47" s="2531"/>
      <c r="F47" s="2531"/>
      <c r="G47" s="2531"/>
      <c r="H47" s="2531"/>
      <c r="I47" s="2371" t="str">
        <f>S46&amp;".1"</f>
        <v>....1</v>
      </c>
      <c r="J47" s="1190"/>
      <c r="K47" s="1190"/>
      <c r="L47" s="1233" t="s">
        <v>422</v>
      </c>
      <c r="P47" s="2505">
        <v>1</v>
      </c>
      <c r="Q47" s="1868"/>
      <c r="R47" s="292"/>
      <c r="S47" s="1872" t="str">
        <f>$I47</f>
        <v>....1</v>
      </c>
      <c r="T47" s="222" t="s">
        <v>423</v>
      </c>
      <c r="U47" s="237"/>
      <c r="V47" s="2495"/>
      <c r="W47" s="2496"/>
      <c r="X47" s="2496"/>
      <c r="Y47" s="2496"/>
      <c r="Z47" s="2496"/>
      <c r="AA47" s="2496"/>
      <c r="AB47" s="2496"/>
      <c r="AC47" s="2497"/>
      <c r="AD47" s="2495"/>
      <c r="AE47" s="2496"/>
      <c r="AF47" s="2496"/>
      <c r="AG47" s="2496"/>
      <c r="AH47" s="2496"/>
      <c r="AI47" s="2496"/>
      <c r="AJ47" s="2496"/>
      <c r="AK47" s="2496"/>
      <c r="AL47" s="2497"/>
      <c r="AM47" s="1181" t="s">
        <v>424</v>
      </c>
      <c r="AO47" s="1547"/>
      <c r="AP47" s="1547" t="str">
        <f t="shared" si="1"/>
        <v>Схема подключения теплопотребляющей установки к коллектору источника тепловой энергии</v>
      </c>
      <c r="AQ47" s="1547"/>
      <c r="AR47" s="1547"/>
      <c r="AS47" s="1554">
        <v>47</v>
      </c>
    </row>
    <row r="48" spans="1:45" ht="21.95" customHeight="1">
      <c r="A48" s="1190" t="s">
        <v>231</v>
      </c>
      <c r="B48" s="1190" t="s">
        <v>232</v>
      </c>
      <c r="C48" s="1190" t="s">
        <v>233</v>
      </c>
      <c r="D48" s="1190" t="s">
        <v>234</v>
      </c>
      <c r="E48" s="2531"/>
      <c r="F48" s="2531"/>
      <c r="G48" s="2531"/>
      <c r="H48" s="2531"/>
      <c r="I48" s="2350"/>
      <c r="J48" s="2371" t="str">
        <f>I47&amp;".1"</f>
        <v>....1.1</v>
      </c>
      <c r="K48" s="1190"/>
      <c r="L48" s="1233" t="s">
        <v>425</v>
      </c>
      <c r="P48" s="2505"/>
      <c r="Q48" s="2505">
        <v>1</v>
      </c>
      <c r="R48" s="293"/>
      <c r="S48" s="1872" t="str">
        <f>$J48</f>
        <v>....1.1</v>
      </c>
      <c r="T48" s="223" t="s">
        <v>426</v>
      </c>
      <c r="U48" s="237"/>
      <c r="V48" s="2495"/>
      <c r="W48" s="2496"/>
      <c r="X48" s="2496"/>
      <c r="Y48" s="2496"/>
      <c r="Z48" s="2496"/>
      <c r="AA48" s="2496"/>
      <c r="AB48" s="2496"/>
      <c r="AC48" s="2497"/>
      <c r="AD48" s="2495"/>
      <c r="AE48" s="2496"/>
      <c r="AF48" s="2496"/>
      <c r="AG48" s="2496"/>
      <c r="AH48" s="2496"/>
      <c r="AI48" s="2496"/>
      <c r="AJ48" s="2496"/>
      <c r="AK48" s="2496"/>
      <c r="AL48" s="2497"/>
      <c r="AM48" s="1181" t="s">
        <v>427</v>
      </c>
      <c r="AO48" s="1547"/>
      <c r="AP48" s="1547" t="str">
        <f t="shared" si="1"/>
        <v>Группа потребителей</v>
      </c>
      <c r="AQ48" s="1547"/>
      <c r="AR48" s="1547"/>
      <c r="AS48" s="1554">
        <v>21</v>
      </c>
    </row>
    <row r="49" spans="1:45" ht="21.95" customHeight="1">
      <c r="A49" s="1190" t="s">
        <v>231</v>
      </c>
      <c r="B49" s="1190" t="s">
        <v>232</v>
      </c>
      <c r="C49" s="1190" t="s">
        <v>233</v>
      </c>
      <c r="D49" s="1190" t="s">
        <v>234</v>
      </c>
      <c r="E49" s="2531"/>
      <c r="F49" s="2531"/>
      <c r="G49" s="2531"/>
      <c r="H49" s="2531"/>
      <c r="I49" s="2350"/>
      <c r="J49" s="2350"/>
      <c r="K49" s="2371" t="str">
        <f>J48&amp;".1"</f>
        <v>....1.1.1</v>
      </c>
      <c r="L49" s="1233" t="s">
        <v>428</v>
      </c>
      <c r="P49" s="2505"/>
      <c r="Q49" s="2505"/>
      <c r="R49" s="293">
        <v>1</v>
      </c>
      <c r="S49" s="1872" t="str">
        <f>$K49</f>
        <v>....1.1.1</v>
      </c>
      <c r="T49" s="1270"/>
      <c r="U49" s="237"/>
      <c r="V49" s="686"/>
      <c r="W49" s="262"/>
      <c r="X49" s="686"/>
      <c r="Y49" s="1180"/>
      <c r="Z49" s="2509"/>
      <c r="AA49" s="2360" t="s">
        <v>63</v>
      </c>
      <c r="AB49" s="2509"/>
      <c r="AC49" s="2360" t="s">
        <v>63</v>
      </c>
      <c r="AD49" s="686"/>
      <c r="AE49" s="262"/>
      <c r="AF49" s="686"/>
      <c r="AG49" s="1180"/>
      <c r="AH49" s="2509"/>
      <c r="AI49" s="2360" t="s">
        <v>63</v>
      </c>
      <c r="AJ49" s="2528"/>
      <c r="AK49" s="2360" t="s">
        <v>63</v>
      </c>
      <c r="AL49" s="1271"/>
      <c r="AM49" s="2501" t="s">
        <v>429</v>
      </c>
      <c r="AN49" s="1559" t="e">
        <f ca="1">STRCHECKDATE(V50:AL50)</f>
        <v>#NAME?</v>
      </c>
      <c r="AO49" s="1547"/>
      <c r="AP49" s="1547" t="str">
        <f t="shared" si="1"/>
        <v/>
      </c>
      <c r="AQ49" s="1547"/>
      <c r="AR49" s="1547"/>
      <c r="AS49" s="1554">
        <v>21</v>
      </c>
    </row>
    <row r="50" spans="1:45" ht="1.1499999999999999" customHeight="1">
      <c r="A50" s="1190" t="s">
        <v>231</v>
      </c>
      <c r="B50" s="1190" t="s">
        <v>232</v>
      </c>
      <c r="C50" s="1190" t="s">
        <v>233</v>
      </c>
      <c r="D50" s="1190" t="s">
        <v>234</v>
      </c>
      <c r="E50" s="2531"/>
      <c r="F50" s="2531"/>
      <c r="G50" s="2531"/>
      <c r="H50" s="2531"/>
      <c r="I50" s="2350"/>
      <c r="J50" s="2350"/>
      <c r="K50" s="2371"/>
      <c r="L50" s="1233"/>
      <c r="P50" s="2505"/>
      <c r="Q50" s="2505"/>
      <c r="R50" s="293"/>
      <c r="S50" s="1881"/>
      <c r="T50" s="237"/>
      <c r="U50" s="237"/>
      <c r="V50" s="262"/>
      <c r="W50" s="262"/>
      <c r="X50" s="262"/>
      <c r="Y50" s="265" t="str">
        <f>Z49&amp;"-"&amp;AB49</f>
        <v>-</v>
      </c>
      <c r="Z50" s="2510"/>
      <c r="AA50" s="2360"/>
      <c r="AB50" s="2510"/>
      <c r="AC50" s="2360"/>
      <c r="AD50" s="262"/>
      <c r="AE50" s="262"/>
      <c r="AF50" s="262"/>
      <c r="AG50" s="265" t="str">
        <f>AH49&amp;"-"&amp;AJ49</f>
        <v>-</v>
      </c>
      <c r="AH50" s="2510"/>
      <c r="AI50" s="2360"/>
      <c r="AJ50" s="2529"/>
      <c r="AK50" s="2360"/>
      <c r="AL50" s="1272"/>
      <c r="AM50" s="2502"/>
      <c r="AO50" s="1547"/>
      <c r="AP50" s="1547" t="str">
        <f t="shared" si="1"/>
        <v/>
      </c>
      <c r="AQ50" s="1547"/>
      <c r="AR50" s="1547"/>
      <c r="AS50" s="1554">
        <v>1</v>
      </c>
    </row>
    <row r="51" spans="1:45" ht="11.45" customHeight="1">
      <c r="A51" s="1190" t="s">
        <v>231</v>
      </c>
      <c r="B51" s="1190" t="s">
        <v>232</v>
      </c>
      <c r="C51" s="1190" t="s">
        <v>233</v>
      </c>
      <c r="D51" s="1190" t="s">
        <v>234</v>
      </c>
      <c r="E51" s="2531"/>
      <c r="F51" s="2531"/>
      <c r="G51" s="2531"/>
      <c r="H51" s="2531"/>
      <c r="I51" s="2350"/>
      <c r="J51" s="2371"/>
      <c r="K51" s="1190"/>
      <c r="L51" s="1233"/>
      <c r="P51" s="2505"/>
      <c r="Q51" s="2505"/>
      <c r="R51" s="292"/>
      <c r="S51" s="1201"/>
      <c r="T51" s="225" t="s">
        <v>430</v>
      </c>
      <c r="U51" s="536"/>
      <c r="V51" s="536"/>
      <c r="W51" s="536"/>
      <c r="X51" s="536"/>
      <c r="Y51" s="536"/>
      <c r="Z51" s="536"/>
      <c r="AA51" s="536"/>
      <c r="AB51" s="536"/>
      <c r="AC51" s="536"/>
      <c r="AD51" s="536"/>
      <c r="AE51" s="536"/>
      <c r="AF51" s="536"/>
      <c r="AG51" s="536"/>
      <c r="AH51" s="536"/>
      <c r="AI51" s="536"/>
      <c r="AJ51" s="536"/>
      <c r="AK51" s="536"/>
      <c r="AL51" s="261"/>
      <c r="AM51" s="2503"/>
      <c r="AO51" s="1547"/>
      <c r="AP51" s="1547" t="str">
        <f t="shared" si="1"/>
        <v>Добавить вид теплоносителя (параметры теплоносителя)</v>
      </c>
      <c r="AQ51" s="1547"/>
      <c r="AR51" s="1547"/>
      <c r="AS51" s="1554">
        <v>11</v>
      </c>
    </row>
    <row r="52" spans="1:45" ht="11.45" customHeight="1">
      <c r="A52" s="1190" t="s">
        <v>231</v>
      </c>
      <c r="B52" s="1190" t="s">
        <v>232</v>
      </c>
      <c r="C52" s="1190" t="s">
        <v>233</v>
      </c>
      <c r="D52" s="1190" t="s">
        <v>234</v>
      </c>
      <c r="E52" s="2531"/>
      <c r="F52" s="2531"/>
      <c r="G52" s="2531"/>
      <c r="H52" s="2531"/>
      <c r="I52" s="2371"/>
      <c r="J52" s="1190"/>
      <c r="K52" s="1190"/>
      <c r="L52" s="1233"/>
      <c r="P52" s="2505"/>
      <c r="Q52" s="1868"/>
      <c r="R52" s="292"/>
      <c r="S52" s="1201"/>
      <c r="T52" s="224" t="s">
        <v>431</v>
      </c>
      <c r="U52" s="536"/>
      <c r="V52" s="536"/>
      <c r="W52" s="536"/>
      <c r="X52" s="536"/>
      <c r="Y52" s="536"/>
      <c r="Z52" s="536"/>
      <c r="AA52" s="536"/>
      <c r="AB52" s="536"/>
      <c r="AC52" s="302"/>
      <c r="AD52" s="536"/>
      <c r="AE52" s="536"/>
      <c r="AF52" s="536"/>
      <c r="AG52" s="536"/>
      <c r="AH52" s="536"/>
      <c r="AI52" s="536"/>
      <c r="AJ52" s="536"/>
      <c r="AK52" s="302"/>
      <c r="AL52" s="536"/>
      <c r="AM52" s="240"/>
      <c r="AO52" s="1547"/>
      <c r="AP52" s="1547" t="str">
        <f t="shared" si="1"/>
        <v>Добавить группу потребителей</v>
      </c>
      <c r="AQ52" s="1547"/>
      <c r="AR52" s="1547"/>
      <c r="AS52" s="1554">
        <v>11</v>
      </c>
    </row>
    <row r="53" spans="1:45" ht="14.65" customHeight="1">
      <c r="A53" s="1190" t="s">
        <v>231</v>
      </c>
      <c r="B53" s="1190" t="s">
        <v>232</v>
      </c>
      <c r="C53" s="1190" t="s">
        <v>233</v>
      </c>
      <c r="D53" s="1190" t="s">
        <v>234</v>
      </c>
      <c r="E53" s="2531"/>
      <c r="F53" s="2531"/>
      <c r="G53" s="2531"/>
      <c r="H53" s="2530"/>
      <c r="I53" s="1190"/>
      <c r="J53" s="1190"/>
      <c r="K53" s="1190"/>
      <c r="L53" s="1233"/>
      <c r="M53" s="1533"/>
      <c r="N53" s="1533"/>
      <c r="O53" s="1558"/>
      <c r="P53" s="296"/>
      <c r="Q53" s="311"/>
      <c r="R53" s="291"/>
      <c r="S53" s="1201"/>
      <c r="T53" s="301" t="s">
        <v>432</v>
      </c>
      <c r="U53" s="536"/>
      <c r="V53" s="536"/>
      <c r="W53" s="536"/>
      <c r="X53" s="536"/>
      <c r="Y53" s="536"/>
      <c r="Z53" s="536"/>
      <c r="AA53" s="536"/>
      <c r="AB53" s="536"/>
      <c r="AC53" s="302"/>
      <c r="AD53" s="536"/>
      <c r="AE53" s="536"/>
      <c r="AF53" s="536"/>
      <c r="AG53" s="536"/>
      <c r="AH53" s="536"/>
      <c r="AI53" s="536"/>
      <c r="AJ53" s="536"/>
      <c r="AK53" s="302"/>
      <c r="AL53" s="536"/>
      <c r="AM53" s="240"/>
      <c r="AO53" s="1547"/>
      <c r="AP53" s="1547" t="str">
        <f t="shared" si="1"/>
        <v>Добавить схему подключения</v>
      </c>
      <c r="AQ53" s="1547"/>
      <c r="AR53" s="1547"/>
      <c r="AS53" s="1554">
        <v>14</v>
      </c>
    </row>
    <row r="54" spans="1:45" s="1565" customFormat="1" ht="1.1499999999999999" customHeight="1">
      <c r="A54" s="1190" t="s">
        <v>231</v>
      </c>
      <c r="B54" s="1190" t="s">
        <v>232</v>
      </c>
      <c r="C54" s="1190" t="s">
        <v>233</v>
      </c>
      <c r="D54" s="1888"/>
      <c r="E54" s="2531"/>
      <c r="F54" s="2531"/>
      <c r="G54" s="2530"/>
      <c r="H54" s="1888"/>
      <c r="I54" s="1888"/>
      <c r="J54" s="1888"/>
      <c r="K54" s="1888"/>
      <c r="L54" s="1303"/>
      <c r="M54" s="1533"/>
      <c r="N54" s="1533"/>
      <c r="O54" s="1558"/>
      <c r="P54" s="1239"/>
      <c r="Q54" s="1240"/>
      <c r="R54" s="1239"/>
      <c r="S54" s="1245"/>
      <c r="T54" s="1248" t="s">
        <v>433</v>
      </c>
      <c r="U54" s="1247"/>
      <c r="V54" s="1247"/>
      <c r="W54" s="1247"/>
      <c r="X54" s="1247"/>
      <c r="Y54" s="1247"/>
      <c r="Z54" s="1247"/>
      <c r="AA54" s="1247"/>
      <c r="AB54" s="1247"/>
      <c r="AC54" s="1247"/>
      <c r="AD54" s="1247"/>
      <c r="AE54" s="1247"/>
      <c r="AF54" s="1247"/>
      <c r="AG54" s="1247"/>
      <c r="AH54" s="1247"/>
      <c r="AI54" s="1247"/>
      <c r="AJ54" s="1247"/>
      <c r="AK54" s="1247"/>
      <c r="AL54" s="1247"/>
      <c r="AM54" s="1247"/>
      <c r="AO54" s="1174"/>
      <c r="AP54" s="1174" t="str">
        <f t="shared" si="1"/>
        <v>Добавить источник для дифференциации</v>
      </c>
      <c r="AQ54" s="1174"/>
      <c r="AR54" s="1174"/>
      <c r="AS54" s="1565">
        <v>1</v>
      </c>
    </row>
    <row r="55" spans="1:45" s="1565" customFormat="1" ht="1.1499999999999999" customHeight="1">
      <c r="A55" s="1190" t="s">
        <v>231</v>
      </c>
      <c r="B55" s="1190" t="s">
        <v>232</v>
      </c>
      <c r="C55" s="1888"/>
      <c r="D55" s="1888"/>
      <c r="E55" s="2531"/>
      <c r="F55" s="2530"/>
      <c r="G55" s="1888"/>
      <c r="H55" s="1888"/>
      <c r="I55" s="1888"/>
      <c r="J55" s="1888"/>
      <c r="K55" s="1888"/>
      <c r="L55" s="1303"/>
      <c r="M55" s="1889"/>
      <c r="N55" s="1889"/>
      <c r="O55" s="1558"/>
      <c r="P55" s="1239"/>
      <c r="Q55" s="1240"/>
      <c r="R55" s="1239"/>
      <c r="S55" s="1245"/>
      <c r="T55" s="1248" t="s">
        <v>434</v>
      </c>
      <c r="U55" s="1247"/>
      <c r="V55" s="1247"/>
      <c r="W55" s="1247"/>
      <c r="X55" s="1247"/>
      <c r="Y55" s="1247"/>
      <c r="Z55" s="1247"/>
      <c r="AA55" s="1247"/>
      <c r="AB55" s="1247"/>
      <c r="AC55" s="1247"/>
      <c r="AD55" s="1247"/>
      <c r="AE55" s="1247"/>
      <c r="AF55" s="1247"/>
      <c r="AG55" s="1247"/>
      <c r="AH55" s="1247"/>
      <c r="AI55" s="1247"/>
      <c r="AJ55" s="1247"/>
      <c r="AK55" s="1247"/>
      <c r="AL55" s="1247"/>
      <c r="AM55" s="1247"/>
      <c r="AO55" s="1174"/>
      <c r="AP55" s="1174" t="str">
        <f t="shared" si="1"/>
        <v>Добавить централизованную систему для дифференциации</v>
      </c>
      <c r="AQ55" s="1174"/>
      <c r="AR55" s="1174"/>
      <c r="AS55" s="1565">
        <v>1</v>
      </c>
    </row>
    <row r="56" spans="1:45" s="1565" customFormat="1" ht="1.1499999999999999" customHeight="1">
      <c r="A56" s="1190" t="s">
        <v>231</v>
      </c>
      <c r="B56" s="1190"/>
      <c r="C56" s="1190"/>
      <c r="D56" s="1190"/>
      <c r="E56" s="2530"/>
      <c r="F56" s="1190"/>
      <c r="G56" s="1190"/>
      <c r="H56" s="1190"/>
      <c r="I56" s="1190"/>
      <c r="J56" s="1190"/>
      <c r="K56" s="1190"/>
      <c r="L56" s="1233"/>
      <c r="M56" s="1889"/>
      <c r="N56" s="1889"/>
      <c r="O56" s="1558"/>
      <c r="P56" s="316"/>
      <c r="Q56" s="1267"/>
      <c r="R56" s="316"/>
      <c r="S56" s="1245"/>
      <c r="T56" s="1248" t="s">
        <v>435</v>
      </c>
      <c r="U56" s="1247"/>
      <c r="V56" s="1247"/>
      <c r="W56" s="1247"/>
      <c r="X56" s="1247"/>
      <c r="Y56" s="1247"/>
      <c r="Z56" s="1247"/>
      <c r="AA56" s="1247"/>
      <c r="AB56" s="1247"/>
      <c r="AC56" s="1247"/>
      <c r="AD56" s="1247"/>
      <c r="AE56" s="1247"/>
      <c r="AF56" s="1247"/>
      <c r="AG56" s="1247"/>
      <c r="AH56" s="1247"/>
      <c r="AI56" s="1247"/>
      <c r="AJ56" s="1247"/>
      <c r="AK56" s="1247"/>
      <c r="AL56" s="1247"/>
      <c r="AM56" s="1247"/>
      <c r="AO56" s="1547"/>
      <c r="AP56" s="1547" t="str">
        <f t="shared" si="1"/>
        <v>Добавить территорию для дифференциации</v>
      </c>
      <c r="AQ56" s="1547"/>
      <c r="AR56" s="1547"/>
      <c r="AS56" s="1559">
        <v>1</v>
      </c>
    </row>
    <row r="57" spans="1:45" s="1565" customFormat="1" ht="1.1499999999999999" customHeight="1">
      <c r="A57" s="1888"/>
      <c r="B57" s="1888"/>
      <c r="C57" s="1888"/>
      <c r="D57" s="1888"/>
      <c r="E57" s="1190"/>
      <c r="F57" s="1888"/>
      <c r="G57" s="1888"/>
      <c r="H57" s="1888"/>
      <c r="I57" s="1888"/>
      <c r="J57" s="1888"/>
      <c r="K57" s="1888"/>
      <c r="L57" s="1303"/>
      <c r="M57" s="1889"/>
      <c r="N57" s="1889"/>
      <c r="O57" s="1558"/>
      <c r="P57" s="1239"/>
      <c r="Q57" s="1240"/>
      <c r="R57" s="1239"/>
      <c r="S57" s="1245"/>
      <c r="T57" s="1248" t="s">
        <v>463</v>
      </c>
      <c r="U57" s="1247"/>
      <c r="V57" s="1247"/>
      <c r="W57" s="1247"/>
      <c r="X57" s="1247"/>
      <c r="Y57" s="1247"/>
      <c r="Z57" s="1247"/>
      <c r="AA57" s="1247"/>
      <c r="AB57" s="1247"/>
      <c r="AC57" s="1247"/>
      <c r="AD57" s="1247"/>
      <c r="AE57" s="1247"/>
      <c r="AF57" s="1247"/>
      <c r="AG57" s="1247"/>
      <c r="AH57" s="1247"/>
      <c r="AI57" s="1247"/>
      <c r="AJ57" s="1247"/>
      <c r="AK57" s="1247"/>
      <c r="AL57" s="1247"/>
      <c r="AM57" s="1247"/>
      <c r="AO57" s="1174"/>
      <c r="AP57" s="1174" t="str">
        <f t="shared" si="1"/>
        <v>Добавить наименование тарифа</v>
      </c>
      <c r="AQ57" s="1174"/>
      <c r="AR57" s="1174"/>
      <c r="AS57" s="1565">
        <v>1</v>
      </c>
    </row>
    <row r="58" spans="1:45" ht="11.45" customHeight="1">
      <c r="M58" s="1554"/>
      <c r="N58" s="1554"/>
      <c r="O58" s="1558"/>
      <c r="P58" s="1554"/>
      <c r="Q58" s="1554"/>
      <c r="R58" s="1554"/>
      <c r="S58" s="1554"/>
      <c r="AN58" s="1554"/>
      <c r="AO58" s="1554"/>
      <c r="AP58" s="1554"/>
      <c r="AQ58" s="1554"/>
      <c r="AR58" s="1554"/>
      <c r="AS58" s="1554">
        <v>11</v>
      </c>
    </row>
    <row r="59" spans="1:45" ht="28.5" customHeight="1">
      <c r="O59" s="1558"/>
      <c r="S59" s="1176"/>
      <c r="T59" s="2526"/>
      <c r="U59" s="2526"/>
      <c r="V59" s="2526"/>
      <c r="W59" s="2526"/>
      <c r="X59" s="2526"/>
      <c r="Y59" s="2526"/>
      <c r="Z59" s="2526"/>
      <c r="AA59" s="2526"/>
      <c r="AB59" s="2526"/>
      <c r="AC59" s="2526"/>
      <c r="AD59" s="2526"/>
      <c r="AE59" s="2526"/>
      <c r="AF59" s="2526"/>
      <c r="AG59" s="2526"/>
      <c r="AH59" s="2526"/>
      <c r="AI59" s="2526"/>
      <c r="AJ59" s="2526"/>
      <c r="AK59" s="2526"/>
      <c r="AL59" s="2526"/>
      <c r="AM59" s="2526"/>
      <c r="AS59" s="1554">
        <v>27</v>
      </c>
    </row>
    <row r="60" spans="1:45" ht="65.25" customHeight="1">
      <c r="O60" s="1558"/>
      <c r="T60" s="2526"/>
      <c r="U60" s="2526"/>
      <c r="V60" s="2526"/>
      <c r="W60" s="2526"/>
      <c r="X60" s="2526"/>
      <c r="Y60" s="2526"/>
      <c r="Z60" s="2526"/>
      <c r="AA60" s="2526"/>
      <c r="AB60" s="2526"/>
      <c r="AC60" s="2526"/>
      <c r="AD60" s="2526"/>
      <c r="AE60" s="2526"/>
      <c r="AF60" s="2526"/>
      <c r="AG60" s="2526"/>
      <c r="AH60" s="2526"/>
      <c r="AI60" s="2526"/>
      <c r="AJ60" s="2526"/>
      <c r="AK60" s="2526"/>
      <c r="AL60" s="2526"/>
      <c r="AM60" s="2526"/>
      <c r="AS60" s="1554">
        <v>62</v>
      </c>
    </row>
    <row r="61" spans="1:45" ht="14.65" customHeight="1">
      <c r="O61" s="1558"/>
      <c r="AS61" s="1554">
        <v>14</v>
      </c>
    </row>
    <row r="62" spans="1:45" ht="18.75" customHeight="1">
      <c r="O62" s="1558"/>
      <c r="S62" s="1176"/>
      <c r="T62" s="2526"/>
      <c r="U62" s="2526"/>
      <c r="V62" s="2526"/>
      <c r="W62" s="2526"/>
      <c r="X62" s="2526"/>
      <c r="Y62" s="2526"/>
      <c r="Z62" s="2526"/>
      <c r="AA62" s="2526"/>
      <c r="AB62" s="2526"/>
      <c r="AC62" s="2526"/>
      <c r="AD62" s="2526"/>
      <c r="AE62" s="2526"/>
      <c r="AF62" s="2526"/>
      <c r="AG62" s="2526"/>
      <c r="AH62" s="2526"/>
      <c r="AI62" s="2526"/>
      <c r="AJ62" s="2526"/>
      <c r="AK62" s="2526"/>
      <c r="AL62" s="2526"/>
      <c r="AM62" s="2526"/>
      <c r="AS62" s="1554">
        <v>18</v>
      </c>
    </row>
    <row r="63" spans="1:45" ht="18.75" customHeight="1">
      <c r="O63" s="1558"/>
      <c r="T63" s="2526"/>
      <c r="U63" s="2526"/>
      <c r="V63" s="2526"/>
      <c r="W63" s="2526"/>
      <c r="X63" s="2526"/>
      <c r="Y63" s="2526"/>
      <c r="Z63" s="2526"/>
      <c r="AA63" s="2526"/>
      <c r="AB63" s="2526"/>
      <c r="AC63" s="2526"/>
      <c r="AD63" s="2526"/>
      <c r="AE63" s="2526"/>
      <c r="AF63" s="2526"/>
      <c r="AG63" s="2526"/>
      <c r="AH63" s="2526"/>
      <c r="AI63" s="2526"/>
      <c r="AJ63" s="2526"/>
      <c r="AK63" s="2526"/>
      <c r="AL63" s="2526"/>
      <c r="AM63" s="2526"/>
      <c r="AS63" s="1554">
        <v>18</v>
      </c>
    </row>
    <row r="64" spans="1:45" ht="29.25" customHeight="1">
      <c r="O64" s="1558"/>
      <c r="S64" s="1176"/>
      <c r="T64" s="2526"/>
      <c r="U64" s="2526"/>
      <c r="V64" s="2526"/>
      <c r="W64" s="2526"/>
      <c r="X64" s="2526"/>
      <c r="Y64" s="2526"/>
      <c r="Z64" s="2526"/>
      <c r="AA64" s="2526"/>
      <c r="AB64" s="2526"/>
      <c r="AC64" s="2526"/>
      <c r="AD64" s="2526"/>
      <c r="AE64" s="2526"/>
      <c r="AF64" s="2526"/>
      <c r="AG64" s="2526"/>
      <c r="AH64" s="2526"/>
      <c r="AI64" s="2526"/>
      <c r="AJ64" s="2526"/>
      <c r="AK64" s="2526"/>
      <c r="AL64" s="2526"/>
      <c r="AM64" s="2526"/>
      <c r="AS64" s="1554">
        <v>28</v>
      </c>
    </row>
    <row r="65" spans="1:45" ht="22.5" hidden="1" customHeight="1">
      <c r="A65" s="1554" t="s">
        <v>83</v>
      </c>
      <c r="B65" s="1554">
        <v>0</v>
      </c>
      <c r="C65" s="1554">
        <v>0</v>
      </c>
      <c r="D65" s="1554">
        <v>0</v>
      </c>
      <c r="E65" s="1554">
        <v>0</v>
      </c>
      <c r="F65" s="1554">
        <v>0</v>
      </c>
      <c r="G65" s="1554">
        <v>0</v>
      </c>
      <c r="H65" s="1554">
        <v>0</v>
      </c>
      <c r="I65" s="1554">
        <v>0</v>
      </c>
      <c r="J65" s="1554">
        <v>0</v>
      </c>
      <c r="K65" s="1554">
        <v>0</v>
      </c>
      <c r="L65" s="1853">
        <v>0</v>
      </c>
      <c r="M65" s="1879">
        <v>0</v>
      </c>
      <c r="N65" s="1879">
        <v>0</v>
      </c>
      <c r="O65" s="1879">
        <v>0</v>
      </c>
      <c r="P65" s="1879">
        <v>3</v>
      </c>
      <c r="Q65" s="281">
        <v>3</v>
      </c>
      <c r="R65" s="281">
        <v>3</v>
      </c>
      <c r="S65" s="517">
        <v>12</v>
      </c>
      <c r="T65" s="1554">
        <v>31</v>
      </c>
      <c r="U65" s="1554">
        <v>0</v>
      </c>
      <c r="V65" s="1554">
        <v>0</v>
      </c>
      <c r="W65" s="1554">
        <v>0</v>
      </c>
      <c r="X65" s="1554">
        <v>0</v>
      </c>
      <c r="Y65" s="1554">
        <v>0</v>
      </c>
      <c r="Z65" s="1554">
        <v>0</v>
      </c>
      <c r="AA65" s="1554">
        <v>0</v>
      </c>
      <c r="AB65" s="1554">
        <v>0</v>
      </c>
      <c r="AC65" s="1554">
        <v>0</v>
      </c>
      <c r="AD65" s="1554">
        <v>24</v>
      </c>
      <c r="AE65" s="1554">
        <v>0</v>
      </c>
      <c r="AF65" s="1554">
        <v>24</v>
      </c>
      <c r="AG65" s="1554">
        <v>24</v>
      </c>
      <c r="AH65" s="1554">
        <v>11</v>
      </c>
      <c r="AI65" s="1554">
        <v>3</v>
      </c>
      <c r="AJ65" s="1554">
        <v>11</v>
      </c>
      <c r="AK65" s="1554">
        <v>0</v>
      </c>
      <c r="AL65" s="1554">
        <v>4</v>
      </c>
      <c r="AM65" s="1554">
        <v>115</v>
      </c>
      <c r="AN65" s="1559">
        <v>10</v>
      </c>
      <c r="AO65" s="1559">
        <v>10</v>
      </c>
      <c r="AP65" s="1559">
        <v>10</v>
      </c>
      <c r="AQ65" s="1559">
        <v>10</v>
      </c>
      <c r="AR65" s="1559">
        <v>10</v>
      </c>
      <c r="AS65" s="1554">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2" style="1289" hidden="1" customWidth="1"/>
    <col min="10" max="10" width="9.85546875" style="1289" hidden="1" customWidth="1"/>
    <col min="11" max="11" width="11.42578125" style="1289" hidden="1" customWidth="1"/>
    <col min="12" max="12" width="19.140625" style="2043" hidden="1" customWidth="1"/>
    <col min="13" max="14" width="12.28515625" style="1696" hidden="1" customWidth="1"/>
    <col min="15" max="15" width="23.42578125" style="1696" hidden="1" customWidth="1"/>
    <col min="16" max="16" width="3" style="2032" customWidth="1"/>
    <col min="17" max="18" width="3" style="281" customWidth="1"/>
    <col min="19" max="19" width="12" style="2033" customWidth="1"/>
    <col min="20" max="20" width="31" style="1558" customWidth="1"/>
    <col min="21" max="21" width="0.7109375" style="1558" hidden="1" customWidth="1"/>
    <col min="22" max="22" width="1.7109375" style="1558" hidden="1" customWidth="1"/>
    <col min="23" max="23" width="24.7109375" style="1558" hidden="1" customWidth="1"/>
    <col min="24" max="25" width="0.140625" style="1558" hidden="1" customWidth="1"/>
    <col min="26" max="26" width="11.7109375" style="1558" hidden="1" customWidth="1"/>
    <col min="27" max="27" width="3.7109375" style="1558" hidden="1" customWidth="1"/>
    <col min="28" max="28" width="11.7109375" style="1558" hidden="1" customWidth="1"/>
    <col min="29" max="29" width="8.5703125" style="1558" hidden="1" customWidth="1"/>
    <col min="30" max="30" width="0.140625" style="1558" customWidth="1"/>
    <col min="31" max="31" width="24" style="1558" customWidth="1"/>
    <col min="32" max="33" width="0.140625" style="1558" customWidth="1"/>
    <col min="34" max="34" width="11" style="1558" customWidth="1"/>
    <col min="35" max="35" width="3.7109375" style="1558" customWidth="1"/>
    <col min="36" max="36" width="11" style="1558" customWidth="1"/>
    <col min="37" max="37" width="8.5703125" style="1558" hidden="1" customWidth="1"/>
    <col min="38" max="38" width="4" style="1558" customWidth="1"/>
    <col min="39" max="39" width="115" style="1558" customWidth="1"/>
    <col min="40" max="44" width="10" style="1565" customWidth="1"/>
    <col min="45" max="45" width="10.5703125" style="1558" hidden="1"/>
  </cols>
  <sheetData>
    <row r="1" spans="1:45" ht="22.5" hidden="1" customHeight="1">
      <c r="Y1" s="264"/>
      <c r="Z1" s="264"/>
      <c r="AG1" s="264"/>
      <c r="AH1" s="264"/>
      <c r="AS1" s="1078" t="s">
        <v>14</v>
      </c>
    </row>
    <row r="2" spans="1:45" ht="21" hidden="1" customHeight="1">
      <c r="A2" s="1286"/>
      <c r="B2" s="1286"/>
      <c r="C2" s="1286"/>
      <c r="D2" s="1286"/>
      <c r="E2" s="2506">
        <v>1</v>
      </c>
      <c r="F2" s="1286"/>
      <c r="G2" s="1286"/>
      <c r="H2" s="1286"/>
      <c r="I2" s="1286"/>
      <c r="J2" s="1286"/>
      <c r="K2" s="1286"/>
      <c r="L2" s="1287"/>
      <c r="M2" s="1288"/>
      <c r="N2" s="1288"/>
      <c r="O2" s="1288"/>
      <c r="P2" s="297"/>
      <c r="Q2" s="296"/>
      <c r="R2" s="291"/>
      <c r="S2" s="1259" t="e">
        <f>INDEX(PT_DIFFERENTIATION_NUM_NTAR,MATCH(A2,PT_DIFFERENTIATION_NTAR_ID,0))</f>
        <v>#N/A</v>
      </c>
      <c r="T2" s="235" t="s">
        <v>144</v>
      </c>
      <c r="U2" s="237"/>
      <c r="V2" s="2492"/>
      <c r="W2" s="2493"/>
      <c r="X2" s="2493"/>
      <c r="Y2" s="2493"/>
      <c r="Z2" s="2493"/>
      <c r="AA2" s="2493"/>
      <c r="AB2" s="2493"/>
      <c r="AC2" s="2494"/>
      <c r="AD2" s="2492" t="e">
        <f>INDEX(PT_DIFFERENTIATION_NTAR,MATCH(A2,PT_DIFFERENTIATION_NTAR_ID,0))</f>
        <v>#N/A</v>
      </c>
      <c r="AE2" s="2493"/>
      <c r="AF2" s="2493"/>
      <c r="AG2" s="2493"/>
      <c r="AH2" s="2493"/>
      <c r="AI2" s="2493"/>
      <c r="AJ2" s="2493"/>
      <c r="AK2" s="2493"/>
      <c r="AL2" s="2494"/>
      <c r="AM2" s="1181" t="s">
        <v>415</v>
      </c>
      <c r="AO2" s="436"/>
      <c r="AP2" s="436" t="str">
        <f t="shared" ref="AP2:AP15" si="0">IF(T2="","",T2)</f>
        <v>Наименование тарифа</v>
      </c>
      <c r="AQ2" s="436"/>
      <c r="AR2" s="436"/>
      <c r="AS2" s="1078">
        <v>0</v>
      </c>
    </row>
    <row r="3" spans="1:45" ht="21" hidden="1" customHeight="1">
      <c r="A3" s="1286"/>
      <c r="B3" s="1286"/>
      <c r="C3" s="1286"/>
      <c r="D3" s="1286"/>
      <c r="E3" s="2507"/>
      <c r="F3" s="2506">
        <v>1</v>
      </c>
      <c r="G3" s="1286"/>
      <c r="H3" s="1286"/>
      <c r="I3" s="1286"/>
      <c r="J3" s="1286"/>
      <c r="K3" s="1286"/>
      <c r="L3" s="1287"/>
      <c r="M3" s="1288"/>
      <c r="N3" s="1288"/>
      <c r="O3" s="1288"/>
      <c r="P3" s="1255"/>
      <c r="Q3" s="288"/>
      <c r="R3" s="289"/>
      <c r="S3" s="1259" t="e">
        <f>INDEX(PT_DIFFERENTIATION_NUM_TER,MATCH(B3,PT_DIFFERENTIATION_TER_ID,0))</f>
        <v>#N/A</v>
      </c>
      <c r="T3" s="245" t="s">
        <v>416</v>
      </c>
      <c r="U3" s="237"/>
      <c r="V3" s="2492"/>
      <c r="W3" s="2493"/>
      <c r="X3" s="2493"/>
      <c r="Y3" s="2493"/>
      <c r="Z3" s="2493"/>
      <c r="AA3" s="2493"/>
      <c r="AB3" s="2493"/>
      <c r="AC3" s="2494"/>
      <c r="AD3" s="2492" t="e">
        <f>INDEX(PT_DIFFERENTIATION_TER,MATCH(B3,PT_DIFFERENTIATION_TER_ID,0))</f>
        <v>#N/A</v>
      </c>
      <c r="AE3" s="2493"/>
      <c r="AF3" s="2493"/>
      <c r="AG3" s="2493"/>
      <c r="AH3" s="2493"/>
      <c r="AI3" s="2493"/>
      <c r="AJ3" s="2493"/>
      <c r="AK3" s="2493"/>
      <c r="AL3" s="2494"/>
      <c r="AM3" s="1181" t="s">
        <v>417</v>
      </c>
      <c r="AO3" s="436"/>
      <c r="AP3" s="436" t="str">
        <f t="shared" si="0"/>
        <v>Территория действия тарифа</v>
      </c>
      <c r="AQ3" s="436"/>
      <c r="AR3" s="436"/>
      <c r="AS3" s="1078">
        <v>0</v>
      </c>
    </row>
    <row r="4" spans="1:45" ht="23.25" hidden="1" customHeight="1">
      <c r="A4" s="1286"/>
      <c r="B4" s="1286"/>
      <c r="C4" s="1286"/>
      <c r="D4" s="1286"/>
      <c r="E4" s="2507"/>
      <c r="F4" s="2507"/>
      <c r="G4" s="2506">
        <v>1</v>
      </c>
      <c r="H4" s="1286"/>
      <c r="I4" s="1286"/>
      <c r="J4" s="1286"/>
      <c r="K4" s="1286"/>
      <c r="L4" s="1287"/>
      <c r="M4" s="1288"/>
      <c r="N4" s="1288"/>
      <c r="O4" s="1288"/>
      <c r="P4" s="290"/>
      <c r="Q4" s="288"/>
      <c r="R4" s="289"/>
      <c r="S4" s="1259" t="e">
        <f>INDEX(PT_DIFFERENTIATION_NUM_CS,MATCH(C4,PT_DIFFERENTIATION_CS_ID,0))</f>
        <v>#N/A</v>
      </c>
      <c r="T4" s="246" t="s">
        <v>418</v>
      </c>
      <c r="U4" s="237"/>
      <c r="V4" s="2492"/>
      <c r="W4" s="2493"/>
      <c r="X4" s="2493"/>
      <c r="Y4" s="2493"/>
      <c r="Z4" s="2493"/>
      <c r="AA4" s="2493"/>
      <c r="AB4" s="2493"/>
      <c r="AC4" s="2494"/>
      <c r="AD4" s="2492" t="e">
        <f>INDEX(PT_DIFFERENTIATION_CS,MATCH(C4,PT_DIFFERENTIATION_CS_ID,0))</f>
        <v>#N/A</v>
      </c>
      <c r="AE4" s="2493"/>
      <c r="AF4" s="2493"/>
      <c r="AG4" s="2493"/>
      <c r="AH4" s="2493"/>
      <c r="AI4" s="2493"/>
      <c r="AJ4" s="2493"/>
      <c r="AK4" s="2493"/>
      <c r="AL4" s="2494"/>
      <c r="AM4" s="1181" t="s">
        <v>419</v>
      </c>
      <c r="AO4" s="436"/>
      <c r="AP4" s="436" t="str">
        <f t="shared" si="0"/>
        <v xml:space="preserve">Наименование системы теплоснабжения </v>
      </c>
      <c r="AQ4" s="436"/>
      <c r="AR4" s="436"/>
      <c r="AS4" s="1078">
        <v>0</v>
      </c>
    </row>
    <row r="5" spans="1:45" ht="21" hidden="1" customHeight="1">
      <c r="A5" s="1286"/>
      <c r="B5" s="1286"/>
      <c r="C5" s="1286"/>
      <c r="D5" s="1286"/>
      <c r="E5" s="2507"/>
      <c r="F5" s="2507"/>
      <c r="G5" s="2507"/>
      <c r="H5" s="2506">
        <v>1</v>
      </c>
      <c r="I5" s="1286"/>
      <c r="J5" s="1286"/>
      <c r="K5" s="1286"/>
      <c r="L5" s="1287"/>
      <c r="M5" s="1288"/>
      <c r="N5" s="1288"/>
      <c r="O5" s="1288"/>
      <c r="P5" s="290"/>
      <c r="Q5" s="288"/>
      <c r="R5" s="289"/>
      <c r="S5" s="1259" t="e">
        <f>INDEX(PT_DIFFERENTIATION_NUM_IST_TE,MATCH(D5,PT_DIFFERENTIATION_IST_TE_ID,0))</f>
        <v>#N/A</v>
      </c>
      <c r="T5" s="247" t="s">
        <v>420</v>
      </c>
      <c r="U5" s="237"/>
      <c r="V5" s="2492"/>
      <c r="W5" s="2493"/>
      <c r="X5" s="2493"/>
      <c r="Y5" s="2493"/>
      <c r="Z5" s="2493"/>
      <c r="AA5" s="2493"/>
      <c r="AB5" s="2493"/>
      <c r="AC5" s="2494"/>
      <c r="AD5" s="2492" t="e">
        <f>INDEX(PT_DIFFERENTIATION_IST_TE,MATCH(D5,PT_DIFFERENTIATION_IST_TE_ID,0))</f>
        <v>#N/A</v>
      </c>
      <c r="AE5" s="2493"/>
      <c r="AF5" s="2493"/>
      <c r="AG5" s="2493"/>
      <c r="AH5" s="2493"/>
      <c r="AI5" s="2493"/>
      <c r="AJ5" s="2493"/>
      <c r="AK5" s="2493"/>
      <c r="AL5" s="2494"/>
      <c r="AM5" s="1181" t="s">
        <v>421</v>
      </c>
      <c r="AO5" s="436"/>
      <c r="AP5" s="436" t="str">
        <f t="shared" si="0"/>
        <v xml:space="preserve">Источник тепловой энергии  </v>
      </c>
      <c r="AQ5" s="436"/>
      <c r="AR5" s="436"/>
      <c r="AS5" s="1078">
        <v>0</v>
      </c>
    </row>
    <row r="6" spans="1:45" ht="47.25" hidden="1" customHeight="1">
      <c r="A6" s="1286"/>
      <c r="B6" s="1286"/>
      <c r="C6" s="1286"/>
      <c r="D6" s="1286"/>
      <c r="E6" s="2507"/>
      <c r="F6" s="2507"/>
      <c r="G6" s="2507"/>
      <c r="H6" s="2507"/>
      <c r="I6" s="2504" t="e">
        <f>S5&amp;".1"</f>
        <v>#N/A</v>
      </c>
      <c r="J6" s="1286"/>
      <c r="K6" s="1286"/>
      <c r="L6" s="1287" t="s">
        <v>422</v>
      </c>
      <c r="M6" s="473"/>
      <c r="P6" s="2505">
        <v>1</v>
      </c>
      <c r="Q6" s="1254"/>
      <c r="R6" s="292"/>
      <c r="S6" s="1259" t="e">
        <f>$I6</f>
        <v>#N/A</v>
      </c>
      <c r="T6" s="222" t="s">
        <v>423</v>
      </c>
      <c r="U6" s="237"/>
      <c r="V6" s="2495"/>
      <c r="W6" s="2496"/>
      <c r="X6" s="2496"/>
      <c r="Y6" s="2496"/>
      <c r="Z6" s="2496"/>
      <c r="AA6" s="2496"/>
      <c r="AB6" s="2496"/>
      <c r="AC6" s="2497"/>
      <c r="AD6" s="2495"/>
      <c r="AE6" s="2496"/>
      <c r="AF6" s="2496"/>
      <c r="AG6" s="2496"/>
      <c r="AH6" s="2496"/>
      <c r="AI6" s="2496"/>
      <c r="AJ6" s="2496"/>
      <c r="AK6" s="2496"/>
      <c r="AL6" s="2497"/>
      <c r="AM6" s="1181" t="s">
        <v>424</v>
      </c>
      <c r="AO6" s="436"/>
      <c r="AP6" s="436" t="str">
        <f t="shared" si="0"/>
        <v>Схема подключения теплопотребляющей установки к коллектору источника тепловой энергии</v>
      </c>
      <c r="AQ6" s="436"/>
      <c r="AR6" s="436"/>
      <c r="AS6" s="1078">
        <v>0</v>
      </c>
    </row>
    <row r="7" spans="1:45" ht="21" hidden="1" customHeight="1">
      <c r="A7" s="1286"/>
      <c r="B7" s="1286"/>
      <c r="C7" s="1286"/>
      <c r="D7" s="1286"/>
      <c r="E7" s="2507"/>
      <c r="F7" s="2507"/>
      <c r="G7" s="2507"/>
      <c r="H7" s="2507"/>
      <c r="I7" s="2527"/>
      <c r="J7" s="2504" t="e">
        <f>I6&amp;".1"</f>
        <v>#N/A</v>
      </c>
      <c r="K7" s="1286"/>
      <c r="L7" s="1287" t="s">
        <v>425</v>
      </c>
      <c r="M7" s="473"/>
      <c r="N7" s="1289"/>
      <c r="P7" s="2505"/>
      <c r="Q7" s="2505">
        <v>1</v>
      </c>
      <c r="R7" s="293"/>
      <c r="S7" s="1259" t="e">
        <f>$J7</f>
        <v>#N/A</v>
      </c>
      <c r="T7" s="223" t="s">
        <v>426</v>
      </c>
      <c r="U7" s="237"/>
      <c r="V7" s="2495"/>
      <c r="W7" s="2496"/>
      <c r="X7" s="2496"/>
      <c r="Y7" s="2496"/>
      <c r="Z7" s="2496"/>
      <c r="AA7" s="2496"/>
      <c r="AB7" s="2496"/>
      <c r="AC7" s="2497"/>
      <c r="AD7" s="2495"/>
      <c r="AE7" s="2496"/>
      <c r="AF7" s="2496"/>
      <c r="AG7" s="2496"/>
      <c r="AH7" s="2496"/>
      <c r="AI7" s="2496"/>
      <c r="AJ7" s="2496"/>
      <c r="AK7" s="2496"/>
      <c r="AL7" s="2497"/>
      <c r="AM7" s="1181" t="s">
        <v>427</v>
      </c>
      <c r="AO7" s="436"/>
      <c r="AP7" s="436" t="str">
        <f t="shared" si="0"/>
        <v>Группа потребителей</v>
      </c>
      <c r="AQ7" s="436"/>
      <c r="AR7" s="436"/>
      <c r="AS7" s="1078">
        <v>0</v>
      </c>
    </row>
    <row r="8" spans="1:45" ht="21" hidden="1" customHeight="1">
      <c r="A8" s="1286"/>
      <c r="B8" s="1286"/>
      <c r="C8" s="1286"/>
      <c r="D8" s="1286"/>
      <c r="E8" s="2507"/>
      <c r="F8" s="2507"/>
      <c r="G8" s="2507"/>
      <c r="H8" s="2507"/>
      <c r="I8" s="2527"/>
      <c r="J8" s="2527"/>
      <c r="K8" s="2504" t="e">
        <f>J7&amp;".1"</f>
        <v>#N/A</v>
      </c>
      <c r="L8" s="1287" t="s">
        <v>428</v>
      </c>
      <c r="M8" s="473"/>
      <c r="N8" s="1289"/>
      <c r="O8" s="1289"/>
      <c r="P8" s="2505"/>
      <c r="Q8" s="2505"/>
      <c r="R8" s="293">
        <v>1</v>
      </c>
      <c r="S8" s="1259" t="e">
        <f>$K8</f>
        <v>#N/A</v>
      </c>
      <c r="T8" s="1270"/>
      <c r="U8" s="237"/>
      <c r="V8" s="262"/>
      <c r="W8" s="686"/>
      <c r="X8" s="262"/>
      <c r="Y8" s="320"/>
      <c r="Z8" s="2509"/>
      <c r="AA8" s="2360" t="s">
        <v>63</v>
      </c>
      <c r="AB8" s="2509"/>
      <c r="AC8" s="2360" t="s">
        <v>63</v>
      </c>
      <c r="AD8" s="262"/>
      <c r="AE8" s="686"/>
      <c r="AF8" s="262"/>
      <c r="AG8" s="320"/>
      <c r="AH8" s="2509"/>
      <c r="AI8" s="2360" t="s">
        <v>63</v>
      </c>
      <c r="AJ8" s="2509"/>
      <c r="AK8" s="2360" t="s">
        <v>63</v>
      </c>
      <c r="AL8" s="262"/>
      <c r="AM8" s="2501" t="s">
        <v>429</v>
      </c>
      <c r="AN8" s="447" t="e">
        <f ca="1">STRCHECKDATE(V9:AL9)</f>
        <v>#NAME?</v>
      </c>
      <c r="AO8" s="436"/>
      <c r="AP8" s="436" t="str">
        <f t="shared" si="0"/>
        <v/>
      </c>
      <c r="AQ8" s="436"/>
      <c r="AR8" s="436"/>
      <c r="AS8" s="1078">
        <v>0</v>
      </c>
    </row>
    <row r="9" spans="1:45" ht="0.75" hidden="1" customHeight="1">
      <c r="A9" s="1286"/>
      <c r="B9" s="1286"/>
      <c r="C9" s="1286"/>
      <c r="D9" s="1286"/>
      <c r="E9" s="2507"/>
      <c r="F9" s="2507"/>
      <c r="G9" s="2507"/>
      <c r="H9" s="2507"/>
      <c r="I9" s="2527"/>
      <c r="J9" s="2527"/>
      <c r="K9" s="2504"/>
      <c r="L9" s="1287"/>
      <c r="M9" s="473"/>
      <c r="N9" s="1289"/>
      <c r="O9" s="1289"/>
      <c r="P9" s="2505"/>
      <c r="Q9" s="2505"/>
      <c r="R9" s="293"/>
      <c r="S9" s="1265"/>
      <c r="T9" s="237"/>
      <c r="U9" s="237"/>
      <c r="V9" s="262"/>
      <c r="W9" s="262"/>
      <c r="X9" s="262"/>
      <c r="Y9" s="265" t="str">
        <f>Z8&amp;"-"&amp;AB8</f>
        <v>-</v>
      </c>
      <c r="Z9" s="2510"/>
      <c r="AA9" s="2360"/>
      <c r="AB9" s="2510"/>
      <c r="AC9" s="2360"/>
      <c r="AD9" s="262"/>
      <c r="AE9" s="262"/>
      <c r="AF9" s="262"/>
      <c r="AG9" s="265" t="str">
        <f>AH8&amp;"-"&amp;AJ8</f>
        <v>-</v>
      </c>
      <c r="AH9" s="2510"/>
      <c r="AI9" s="2360"/>
      <c r="AJ9" s="2510"/>
      <c r="AK9" s="2360"/>
      <c r="AL9" s="262"/>
      <c r="AM9" s="2502"/>
      <c r="AO9" s="436"/>
      <c r="AP9" s="436" t="str">
        <f t="shared" si="0"/>
        <v/>
      </c>
      <c r="AQ9" s="436"/>
      <c r="AR9" s="436"/>
      <c r="AS9" s="1078">
        <v>0</v>
      </c>
    </row>
    <row r="10" spans="1:45" ht="15" hidden="1" customHeight="1">
      <c r="A10" s="1286"/>
      <c r="B10" s="1286"/>
      <c r="C10" s="1286"/>
      <c r="D10" s="1286"/>
      <c r="E10" s="2507"/>
      <c r="F10" s="2507"/>
      <c r="G10" s="2507"/>
      <c r="H10" s="2507"/>
      <c r="I10" s="2527"/>
      <c r="J10" s="2504"/>
      <c r="K10" s="1286"/>
      <c r="L10" s="1287"/>
      <c r="M10" s="473"/>
      <c r="N10" s="1289"/>
      <c r="P10" s="2505"/>
      <c r="Q10" s="2505"/>
      <c r="R10" s="292"/>
      <c r="S10" s="1201"/>
      <c r="T10" s="225" t="s">
        <v>430</v>
      </c>
      <c r="U10" s="303"/>
      <c r="V10" s="303"/>
      <c r="W10" s="303"/>
      <c r="X10" s="303"/>
      <c r="Y10" s="303"/>
      <c r="Z10" s="303"/>
      <c r="AA10" s="303"/>
      <c r="AB10" s="303"/>
      <c r="AC10" s="303"/>
      <c r="AD10" s="303"/>
      <c r="AE10" s="303"/>
      <c r="AF10" s="303"/>
      <c r="AG10" s="303"/>
      <c r="AH10" s="303"/>
      <c r="AI10" s="303"/>
      <c r="AJ10" s="303"/>
      <c r="AK10" s="303"/>
      <c r="AL10" s="261"/>
      <c r="AM10" s="2503"/>
      <c r="AO10" s="436"/>
      <c r="AP10" s="436" t="str">
        <f t="shared" si="0"/>
        <v>Добавить вид теплоносителя (параметры теплоносителя)</v>
      </c>
      <c r="AQ10" s="436"/>
      <c r="AR10" s="436"/>
      <c r="AS10" s="1078">
        <v>0</v>
      </c>
    </row>
    <row r="11" spans="1:45" ht="15" hidden="1" customHeight="1">
      <c r="A11" s="1286"/>
      <c r="B11" s="1286"/>
      <c r="C11" s="1286"/>
      <c r="D11" s="1286"/>
      <c r="E11" s="2507"/>
      <c r="F11" s="2507"/>
      <c r="G11" s="2507"/>
      <c r="H11" s="2507"/>
      <c r="I11" s="2504"/>
      <c r="J11" s="1286"/>
      <c r="K11" s="1286"/>
      <c r="L11" s="1287"/>
      <c r="M11" s="473"/>
      <c r="P11" s="2505"/>
      <c r="Q11" s="1254"/>
      <c r="R11" s="292"/>
      <c r="S11" s="1201"/>
      <c r="T11" s="224" t="s">
        <v>431</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8">
        <v>0</v>
      </c>
    </row>
    <row r="12" spans="1:45" ht="14.25" hidden="1" customHeight="1">
      <c r="A12" s="1286"/>
      <c r="B12" s="1286"/>
      <c r="C12" s="1286"/>
      <c r="D12" s="1286"/>
      <c r="E12" s="2507"/>
      <c r="F12" s="2507"/>
      <c r="G12" s="2507"/>
      <c r="H12" s="2506"/>
      <c r="I12" s="1286"/>
      <c r="J12" s="1286"/>
      <c r="K12" s="1286"/>
      <c r="L12" s="1287"/>
      <c r="M12" s="1288"/>
      <c r="N12" s="1288"/>
      <c r="O12" s="473"/>
      <c r="P12" s="296"/>
      <c r="Q12" s="311"/>
      <c r="R12" s="291"/>
      <c r="S12" s="1201"/>
      <c r="T12" s="301" t="s">
        <v>432</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78">
        <v>0</v>
      </c>
    </row>
    <row r="13" spans="1:45" s="1565" customFormat="1" ht="0.75" hidden="1" customHeight="1">
      <c r="A13" s="1237"/>
      <c r="B13" s="1237"/>
      <c r="C13" s="1237"/>
      <c r="D13" s="1237"/>
      <c r="E13" s="2507"/>
      <c r="F13" s="2507"/>
      <c r="G13" s="2506"/>
      <c r="H13" s="1237"/>
      <c r="I13" s="1237"/>
      <c r="J13" s="1237"/>
      <c r="K13" s="1237"/>
      <c r="L13" s="1262"/>
      <c r="M13" s="1238"/>
      <c r="N13" s="1238"/>
      <c r="P13" s="1239"/>
      <c r="Q13" s="1240"/>
      <c r="R13" s="1239"/>
      <c r="S13" s="1241"/>
      <c r="T13" s="1242" t="s">
        <v>433</v>
      </c>
      <c r="U13" s="1243"/>
      <c r="V13" s="1243"/>
      <c r="W13" s="1243"/>
      <c r="X13" s="1243"/>
      <c r="Y13" s="1243"/>
      <c r="Z13" s="1243"/>
      <c r="AA13" s="1243"/>
      <c r="AB13" s="1243"/>
      <c r="AC13" s="1243"/>
      <c r="AD13" s="1243"/>
      <c r="AE13" s="1243"/>
      <c r="AF13" s="1243"/>
      <c r="AG13" s="1243"/>
      <c r="AH13" s="1243"/>
      <c r="AI13" s="1243"/>
      <c r="AJ13" s="1243"/>
      <c r="AK13" s="1243"/>
      <c r="AL13" s="1243"/>
      <c r="AM13" s="1243"/>
      <c r="AO13" s="718"/>
      <c r="AP13" s="718" t="str">
        <f t="shared" si="0"/>
        <v>Добавить источник для дифференциации</v>
      </c>
      <c r="AQ13" s="718"/>
      <c r="AR13" s="718"/>
      <c r="AS13" s="454">
        <v>0</v>
      </c>
    </row>
    <row r="14" spans="1:45" s="1565" customFormat="1" ht="0.75" hidden="1" customHeight="1">
      <c r="A14" s="1237"/>
      <c r="B14" s="1237"/>
      <c r="C14" s="1237"/>
      <c r="D14" s="1237"/>
      <c r="E14" s="2507"/>
      <c r="F14" s="2506"/>
      <c r="G14" s="1237"/>
      <c r="H14" s="1237"/>
      <c r="I14" s="1237"/>
      <c r="J14" s="1237"/>
      <c r="K14" s="1237"/>
      <c r="L14" s="1262"/>
      <c r="M14" s="1244"/>
      <c r="N14" s="1244"/>
      <c r="P14" s="1239"/>
      <c r="Q14" s="1240"/>
      <c r="R14" s="1239"/>
      <c r="S14" s="1245"/>
      <c r="T14" s="1246" t="s">
        <v>434</v>
      </c>
      <c r="U14" s="1247"/>
      <c r="V14" s="1247"/>
      <c r="W14" s="1247"/>
      <c r="X14" s="1247"/>
      <c r="Y14" s="1247"/>
      <c r="Z14" s="1247"/>
      <c r="AA14" s="1247"/>
      <c r="AB14" s="1247"/>
      <c r="AC14" s="1247"/>
      <c r="AD14" s="1247"/>
      <c r="AE14" s="1247"/>
      <c r="AF14" s="1247"/>
      <c r="AG14" s="1247"/>
      <c r="AH14" s="1247"/>
      <c r="AI14" s="1247"/>
      <c r="AJ14" s="1247"/>
      <c r="AK14" s="1247"/>
      <c r="AL14" s="1247"/>
      <c r="AM14" s="1247"/>
      <c r="AO14" s="718"/>
      <c r="AP14" s="718" t="str">
        <f t="shared" si="0"/>
        <v>Добавить централизованную систему для дифференциации</v>
      </c>
      <c r="AQ14" s="718"/>
      <c r="AR14" s="718"/>
      <c r="AS14" s="454">
        <v>0</v>
      </c>
    </row>
    <row r="15" spans="1:45" s="1565" customFormat="1" ht="0.75" hidden="1" customHeight="1">
      <c r="A15" s="1237"/>
      <c r="B15" s="1237"/>
      <c r="C15" s="1237"/>
      <c r="D15" s="1237"/>
      <c r="E15" s="2506"/>
      <c r="F15" s="1237"/>
      <c r="G15" s="1237"/>
      <c r="H15" s="1237"/>
      <c r="I15" s="1237"/>
      <c r="J15" s="1237"/>
      <c r="K15" s="1237"/>
      <c r="L15" s="1262"/>
      <c r="M15" s="1244"/>
      <c r="N15" s="1244"/>
      <c r="P15" s="1239"/>
      <c r="Q15" s="1240"/>
      <c r="R15" s="1239"/>
      <c r="S15" s="1245"/>
      <c r="T15" s="1248" t="s">
        <v>435</v>
      </c>
      <c r="U15" s="1247"/>
      <c r="V15" s="1247"/>
      <c r="W15" s="1247"/>
      <c r="X15" s="1247"/>
      <c r="Y15" s="1247"/>
      <c r="Z15" s="1247"/>
      <c r="AA15" s="1247"/>
      <c r="AB15" s="1247"/>
      <c r="AC15" s="1247"/>
      <c r="AD15" s="1247"/>
      <c r="AE15" s="1247"/>
      <c r="AF15" s="1247"/>
      <c r="AG15" s="1247"/>
      <c r="AH15" s="1247"/>
      <c r="AI15" s="1247"/>
      <c r="AJ15" s="1247"/>
      <c r="AK15" s="1247"/>
      <c r="AL15" s="1247"/>
      <c r="AM15" s="1247"/>
      <c r="AO15" s="718"/>
      <c r="AP15" s="718" t="str">
        <f t="shared" si="0"/>
        <v>Добавить территорию для дифференциации</v>
      </c>
      <c r="AQ15" s="718"/>
      <c r="AR15" s="718"/>
      <c r="AS15" s="454">
        <v>0</v>
      </c>
    </row>
    <row r="16" spans="1:45" ht="14.25" hidden="1" customHeight="1">
      <c r="AC16" s="264"/>
      <c r="AK16" s="264"/>
      <c r="AS16" s="1078">
        <v>0</v>
      </c>
    </row>
    <row r="17" spans="1:45" ht="14.25" hidden="1" customHeight="1">
      <c r="AD17" s="1283"/>
      <c r="AE17" s="1283"/>
      <c r="AF17" s="1283"/>
      <c r="AG17" s="1284"/>
      <c r="AH17" s="2511"/>
      <c r="AI17" s="2512" t="s">
        <v>63</v>
      </c>
      <c r="AJ17" s="2511"/>
      <c r="AK17" s="2512" t="s">
        <v>63</v>
      </c>
      <c r="AS17" s="1078">
        <v>0</v>
      </c>
    </row>
    <row r="18" spans="1:45" ht="14.25" hidden="1" customHeight="1">
      <c r="AD18" s="1283"/>
      <c r="AE18" s="1283"/>
      <c r="AF18" s="1283"/>
      <c r="AG18" s="265" t="str">
        <f>AH17&amp;"-"&amp;AJ17</f>
        <v>-</v>
      </c>
      <c r="AH18" s="2512"/>
      <c r="AI18" s="2512"/>
      <c r="AJ18" s="2512"/>
      <c r="AK18" s="2512"/>
      <c r="AS18" s="1078">
        <v>0</v>
      </c>
    </row>
    <row r="19" spans="1:45" ht="14.25" hidden="1" customHeight="1">
      <c r="AK19" s="264"/>
      <c r="AS19" s="1078">
        <v>0</v>
      </c>
    </row>
    <row r="20" spans="1:45" s="1289" customFormat="1" ht="22.5" hidden="1" customHeight="1">
      <c r="L20" s="1252"/>
      <c r="M20" s="1285"/>
      <c r="N20" s="1285"/>
      <c r="O20" s="1290" t="s">
        <v>436</v>
      </c>
      <c r="P20" s="1285"/>
      <c r="Q20" s="1294"/>
      <c r="R20" s="1294"/>
      <c r="S20" s="665"/>
      <c r="Z20" s="1290"/>
      <c r="AB20" s="1290"/>
      <c r="AH20" s="1290"/>
      <c r="AJ20" s="1290"/>
      <c r="AN20" s="447"/>
      <c r="AO20" s="447"/>
      <c r="AP20" s="447"/>
      <c r="AQ20" s="447"/>
      <c r="AR20" s="447"/>
      <c r="AS20" s="1083">
        <v>0</v>
      </c>
    </row>
    <row r="21" spans="1:45" s="1289" customFormat="1" ht="14.25" hidden="1" customHeight="1">
      <c r="L21" s="1252"/>
      <c r="M21" s="1285"/>
      <c r="N21" s="1285"/>
      <c r="O21" s="1285"/>
      <c r="P21" s="1285"/>
      <c r="Q21" s="1294"/>
      <c r="R21" s="1294"/>
      <c r="S21" s="665"/>
      <c r="AN21" s="447"/>
      <c r="AO21" s="447"/>
      <c r="AP21" s="447"/>
      <c r="AQ21" s="447"/>
      <c r="AR21" s="447"/>
      <c r="AS21" s="1083">
        <v>0</v>
      </c>
    </row>
    <row r="22" spans="1:45" s="1289" customFormat="1" ht="33.75" hidden="1" customHeight="1">
      <c r="L22" s="1252"/>
      <c r="M22" s="1285"/>
      <c r="N22" s="1285"/>
      <c r="O22" s="1287" t="s">
        <v>437</v>
      </c>
      <c r="P22" s="1285"/>
      <c r="Q22" s="1294"/>
      <c r="R22" s="1294"/>
      <c r="S22" s="665"/>
      <c r="T22" s="1083" t="s">
        <v>438</v>
      </c>
      <c r="AA22" s="123" t="s">
        <v>439</v>
      </c>
      <c r="AC22" s="123" t="s">
        <v>440</v>
      </c>
      <c r="AD22" s="1083" t="s">
        <v>438</v>
      </c>
      <c r="AI22" s="123" t="s">
        <v>441</v>
      </c>
      <c r="AK22" s="123" t="s">
        <v>440</v>
      </c>
      <c r="AN22" s="447"/>
      <c r="AO22" s="447"/>
      <c r="AP22" s="447"/>
      <c r="AQ22" s="447"/>
      <c r="AR22" s="447"/>
      <c r="AS22" s="1083">
        <v>0</v>
      </c>
    </row>
    <row r="23" spans="1:45" ht="14.25" hidden="1" customHeight="1">
      <c r="O23" s="1287"/>
      <c r="AS23" s="1078">
        <v>0</v>
      </c>
    </row>
    <row r="24" spans="1:45" ht="14.25" hidden="1" customHeight="1">
      <c r="O24" s="1287"/>
      <c r="AS24" s="1078">
        <v>0</v>
      </c>
    </row>
    <row r="25" spans="1:45" ht="14.65" customHeight="1">
      <c r="Q25" s="312"/>
      <c r="R25" s="312"/>
      <c r="S25" s="1198"/>
      <c r="T25" s="299"/>
      <c r="U25" s="299"/>
      <c r="V25" s="445"/>
      <c r="W25" s="445"/>
      <c r="X25" s="445"/>
      <c r="Y25" s="445"/>
      <c r="Z25" s="445"/>
      <c r="AA25" s="445"/>
      <c r="AB25" s="445"/>
      <c r="AC25" s="445"/>
      <c r="AD25" s="445"/>
      <c r="AE25" s="445"/>
      <c r="AF25" s="445"/>
      <c r="AG25" s="445"/>
      <c r="AH25" s="445"/>
      <c r="AI25" s="445"/>
      <c r="AJ25" s="445"/>
      <c r="AK25" s="445"/>
      <c r="AS25" s="1078">
        <v>14</v>
      </c>
    </row>
    <row r="26" spans="1:45" ht="29.25" customHeight="1">
      <c r="Q26" s="312"/>
      <c r="R26" s="312"/>
      <c r="S26" s="249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90"/>
      <c r="U26" s="2490"/>
      <c r="V26" s="2490"/>
      <c r="W26" s="2490"/>
      <c r="X26" s="2490"/>
      <c r="Y26" s="2490"/>
      <c r="Z26" s="2490"/>
      <c r="AA26" s="2490"/>
      <c r="AB26" s="2490"/>
      <c r="AC26" s="2490"/>
      <c r="AD26" s="2490"/>
      <c r="AE26" s="2490"/>
      <c r="AF26" s="2490"/>
      <c r="AG26" s="2490"/>
      <c r="AH26" s="2490"/>
      <c r="AI26" s="2490"/>
      <c r="AJ26" s="2490"/>
      <c r="AK26" s="1166"/>
      <c r="AS26" s="1078">
        <v>28</v>
      </c>
    </row>
    <row r="27" spans="1:45" ht="14.65" customHeight="1">
      <c r="Q27" s="312"/>
      <c r="R27" s="312"/>
      <c r="S27" s="2436" t="str">
        <f>IF(org=0,"Не определено",org)</f>
        <v>ПАО "ТГК-2"</v>
      </c>
      <c r="T27" s="2436"/>
      <c r="U27" s="2436"/>
      <c r="V27" s="2436"/>
      <c r="W27" s="2436"/>
      <c r="X27" s="2436"/>
      <c r="Y27" s="2436"/>
      <c r="Z27" s="2436"/>
      <c r="AA27" s="2436"/>
      <c r="AB27" s="2436"/>
      <c r="AC27" s="2436"/>
      <c r="AD27" s="2436"/>
      <c r="AE27" s="2436"/>
      <c r="AF27" s="2436"/>
      <c r="AG27" s="2436"/>
      <c r="AH27" s="2436"/>
      <c r="AI27" s="2436"/>
      <c r="AJ27" s="2436"/>
      <c r="AK27" s="1166"/>
      <c r="AS27" s="1078">
        <v>14</v>
      </c>
    </row>
    <row r="28" spans="1:45" ht="14.25" hidden="1" customHeight="1">
      <c r="Q28" s="312"/>
      <c r="R28" s="312"/>
      <c r="S28" s="1198"/>
      <c r="T28" s="299"/>
      <c r="U28" s="299"/>
      <c r="V28" s="259"/>
      <c r="W28" s="259"/>
      <c r="X28" s="259"/>
      <c r="Y28" s="259"/>
      <c r="Z28" s="259"/>
      <c r="AA28" s="259"/>
      <c r="AB28" s="259"/>
      <c r="AC28" s="259"/>
      <c r="AD28" s="259"/>
      <c r="AE28" s="259"/>
      <c r="AF28" s="259"/>
      <c r="AG28" s="259"/>
      <c r="AH28" s="259"/>
      <c r="AI28" s="259"/>
      <c r="AJ28" s="259"/>
      <c r="AK28" s="259"/>
      <c r="AL28" s="445"/>
      <c r="AS28" s="1078">
        <v>0</v>
      </c>
    </row>
    <row r="29" spans="1:45" s="1770" customFormat="1" ht="25.5" hidden="1" customHeight="1">
      <c r="A29" s="1291"/>
      <c r="B29" s="1291"/>
      <c r="C29" s="1291"/>
      <c r="D29" s="1291"/>
      <c r="E29" s="1291"/>
      <c r="F29" s="1291"/>
      <c r="G29" s="1291"/>
      <c r="H29" s="1291"/>
      <c r="I29" s="1291"/>
      <c r="J29" s="1291"/>
      <c r="K29" s="1291"/>
      <c r="L29" s="1292"/>
      <c r="M29" s="1291"/>
      <c r="N29" s="1291"/>
      <c r="O29" s="1291"/>
      <c r="S29" s="249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498"/>
      <c r="U29" s="1295"/>
      <c r="V29" s="2499" t="str">
        <f>IF(TITLE_NAME_OR_PR_CHANGE="",IF(TITLE_NAME_OR_PR="","",TITLE_NAME_OR_PR),TITLE_NAME_OR_PR_CHANGE)</f>
        <v/>
      </c>
      <c r="W29" s="2499"/>
      <c r="X29" s="2499"/>
      <c r="Y29" s="2499"/>
      <c r="Z29" s="2499"/>
      <c r="AA29" s="2499"/>
      <c r="AB29" s="2499"/>
      <c r="AC29" s="263"/>
      <c r="AD29" s="2499" t="str">
        <f>IF(TITLE_NAME_OR_PR_CHANGE="",IF(TITLE_NAME_OR_PR="","",TITLE_NAME_OR_PR),TITLE_NAME_OR_PR_CHANGE)</f>
        <v/>
      </c>
      <c r="AE29" s="2499"/>
      <c r="AF29" s="2499"/>
      <c r="AG29" s="2499"/>
      <c r="AH29" s="2499"/>
      <c r="AI29" s="2499"/>
      <c r="AJ29" s="2499"/>
      <c r="AK29" s="263"/>
      <c r="AL29" s="263"/>
      <c r="AM29" s="217"/>
      <c r="AN29" s="304"/>
      <c r="AO29" s="304"/>
      <c r="AP29" s="304"/>
      <c r="AQ29" s="304"/>
      <c r="AR29" s="304"/>
      <c r="AS29" s="354">
        <v>0</v>
      </c>
    </row>
    <row r="30" spans="1:45" s="1770" customFormat="1" ht="18.75" hidden="1" customHeight="1">
      <c r="A30" s="1291"/>
      <c r="B30" s="1291"/>
      <c r="C30" s="1291"/>
      <c r="D30" s="1291"/>
      <c r="E30" s="1291"/>
      <c r="F30" s="1291"/>
      <c r="G30" s="1291"/>
      <c r="H30" s="1291"/>
      <c r="I30" s="1291"/>
      <c r="J30" s="1291"/>
      <c r="K30" s="1291"/>
      <c r="L30" s="1292"/>
      <c r="M30" s="1291"/>
      <c r="N30" s="1291"/>
      <c r="O30" s="1291"/>
      <c r="S30" s="2498" t="str">
        <f>"Дата документа об "&amp;IF(TITLE_DATE_PR_CHANGE="","утверждении","изменении")&amp;" тарифов"</f>
        <v>Дата документа об утверждении тарифов</v>
      </c>
      <c r="T30" s="2498"/>
      <c r="U30" s="1295"/>
      <c r="V30" s="2508" t="str">
        <f>IF(TITLE_DATE_PR_CHANGE="",IF(TITLE_DATE_PR="","",TITLE_DATE_PR),TITLE_DATE_PR_CHANGE)</f>
        <v/>
      </c>
      <c r="W30" s="2508"/>
      <c r="X30" s="2508"/>
      <c r="Y30" s="2508"/>
      <c r="Z30" s="2508"/>
      <c r="AA30" s="2508"/>
      <c r="AB30" s="2508"/>
      <c r="AC30" s="263"/>
      <c r="AD30" s="2508" t="str">
        <f>IF(TITLE_DATE_PR_CHANGE="",IF(TITLE_DATE_PR="","",TITLE_DATE_PR),TITLE_DATE_PR_CHANGE)</f>
        <v/>
      </c>
      <c r="AE30" s="2508"/>
      <c r="AF30" s="2508"/>
      <c r="AG30" s="2508"/>
      <c r="AH30" s="2508"/>
      <c r="AI30" s="2508"/>
      <c r="AJ30" s="2508"/>
      <c r="AK30" s="263"/>
      <c r="AL30" s="263"/>
      <c r="AM30" s="217"/>
      <c r="AN30" s="304"/>
      <c r="AO30" s="304"/>
      <c r="AP30" s="304"/>
      <c r="AQ30" s="304"/>
      <c r="AR30" s="304"/>
      <c r="AS30" s="354">
        <v>0</v>
      </c>
    </row>
    <row r="31" spans="1:45" s="1770" customFormat="1" ht="18.75" hidden="1" customHeight="1">
      <c r="A31" s="1291"/>
      <c r="B31" s="1291"/>
      <c r="C31" s="1291"/>
      <c r="D31" s="1291"/>
      <c r="E31" s="1291"/>
      <c r="F31" s="1291"/>
      <c r="G31" s="1291"/>
      <c r="H31" s="1291"/>
      <c r="I31" s="1291"/>
      <c r="J31" s="1291"/>
      <c r="K31" s="1291"/>
      <c r="L31" s="1292"/>
      <c r="M31" s="1291"/>
      <c r="N31" s="1291"/>
      <c r="O31" s="1291"/>
      <c r="S31" s="2498" t="str">
        <f>"Номер документа об "&amp;IF(TITLE_DATE_PR_CHANGE="","утверждении","изменении")&amp;" тарифов"</f>
        <v>Номер документа об утверждении тарифов</v>
      </c>
      <c r="T31" s="2498"/>
      <c r="U31" s="1295"/>
      <c r="V31" s="2499" t="str">
        <f>IF(TITLE_NUMBER_PR_CHANGE="",IF(TITLE_NUMBER_PR="","",TITLE_NUMBER_PR),TITLE_NUMBER_PR_CHANGE)</f>
        <v/>
      </c>
      <c r="W31" s="2499"/>
      <c r="X31" s="2499"/>
      <c r="Y31" s="2499"/>
      <c r="Z31" s="2499"/>
      <c r="AA31" s="2499"/>
      <c r="AB31" s="2499"/>
      <c r="AC31" s="263"/>
      <c r="AD31" s="2499" t="str">
        <f>IF(TITLE_NUMBER_PR_CHANGE="",IF(TITLE_NUMBER_PR="","",TITLE_NUMBER_PR),TITLE_NUMBER_PR_CHANGE)</f>
        <v/>
      </c>
      <c r="AE31" s="2499"/>
      <c r="AF31" s="2499"/>
      <c r="AG31" s="2499"/>
      <c r="AH31" s="2499"/>
      <c r="AI31" s="2499"/>
      <c r="AJ31" s="2499"/>
      <c r="AK31" s="263"/>
      <c r="AL31" s="263"/>
      <c r="AM31" s="217"/>
      <c r="AN31" s="304"/>
      <c r="AO31" s="304"/>
      <c r="AP31" s="304"/>
      <c r="AQ31" s="304"/>
      <c r="AR31" s="304"/>
      <c r="AS31" s="354">
        <v>0</v>
      </c>
    </row>
    <row r="32" spans="1:45" s="1770" customFormat="1" ht="18.75" hidden="1" customHeight="1">
      <c r="A32" s="1291"/>
      <c r="B32" s="1291"/>
      <c r="C32" s="1291"/>
      <c r="D32" s="1291"/>
      <c r="E32" s="1291"/>
      <c r="F32" s="1291"/>
      <c r="G32" s="1291"/>
      <c r="H32" s="1291"/>
      <c r="I32" s="1291"/>
      <c r="J32" s="1291"/>
      <c r="K32" s="1291"/>
      <c r="L32" s="1292"/>
      <c r="M32" s="1291"/>
      <c r="N32" s="1291"/>
      <c r="O32" s="1291"/>
      <c r="S32" s="2498" t="s">
        <v>43</v>
      </c>
      <c r="T32" s="2498"/>
      <c r="U32" s="1295"/>
      <c r="V32" s="2499" t="str">
        <f>IF(TITLE_IST_PUB_CHANGE="",IF(TITLE_IST_PUB="","",TITLE_IST_PUB),TITLE_IST_PUB_CHANGE)</f>
        <v/>
      </c>
      <c r="W32" s="2499"/>
      <c r="X32" s="2499"/>
      <c r="Y32" s="2499"/>
      <c r="Z32" s="2499"/>
      <c r="AA32" s="2499"/>
      <c r="AB32" s="2499"/>
      <c r="AC32" s="263"/>
      <c r="AD32" s="2499" t="str">
        <f>IF(TITLE_IST_PUB_CHANGE="",IF(TITLE_IST_PUB="","",TITLE_IST_PUB),TITLE_IST_PUB_CHANGE)</f>
        <v/>
      </c>
      <c r="AE32" s="2499"/>
      <c r="AF32" s="2499"/>
      <c r="AG32" s="2499"/>
      <c r="AH32" s="2499"/>
      <c r="AI32" s="2499"/>
      <c r="AJ32" s="2499"/>
      <c r="AK32" s="263"/>
      <c r="AL32" s="263"/>
      <c r="AM32" s="217"/>
      <c r="AN32" s="304"/>
      <c r="AO32" s="304"/>
      <c r="AP32" s="304"/>
      <c r="AQ32" s="304"/>
      <c r="AR32" s="304"/>
      <c r="AS32" s="354">
        <v>0</v>
      </c>
    </row>
    <row r="33" spans="1:45" ht="14.25" hidden="1" customHeight="1">
      <c r="Q33" s="312"/>
      <c r="R33" s="312"/>
      <c r="S33" s="1198"/>
      <c r="T33" s="393"/>
      <c r="U33" s="299"/>
      <c r="V33" s="259"/>
      <c r="W33" s="259"/>
      <c r="X33" s="259"/>
      <c r="Y33" s="259"/>
      <c r="Z33" s="259"/>
      <c r="AA33" s="259"/>
      <c r="AB33" s="259"/>
      <c r="AC33" s="259"/>
      <c r="AD33" s="259"/>
      <c r="AE33" s="259"/>
      <c r="AF33" s="259"/>
      <c r="AG33" s="259"/>
      <c r="AH33" s="259"/>
      <c r="AI33" s="259"/>
      <c r="AJ33" s="259"/>
      <c r="AK33" s="259"/>
      <c r="AL33" s="445"/>
      <c r="AS33" s="1078">
        <v>0</v>
      </c>
    </row>
    <row r="34" spans="1:45" s="1770" customFormat="1" ht="18.75" hidden="1" customHeight="1">
      <c r="A34" s="1291"/>
      <c r="B34" s="1291"/>
      <c r="C34" s="1291"/>
      <c r="D34" s="1291"/>
      <c r="E34" s="1291"/>
      <c r="F34" s="1291"/>
      <c r="G34" s="1291"/>
      <c r="H34" s="1291"/>
      <c r="I34" s="1291"/>
      <c r="J34" s="1291"/>
      <c r="K34" s="1291"/>
      <c r="L34" s="1292"/>
      <c r="M34" s="1291"/>
      <c r="N34" s="1291"/>
      <c r="O34" s="1291"/>
      <c r="S34" s="2498" t="str">
        <f>"Дата подачи заявления об "&amp;IF(TITLE_DATE_PR_CHANGE="","утверждении","изменении")&amp;" тарифов"</f>
        <v>Дата подачи заявления об утверждении тарифов</v>
      </c>
      <c r="T34" s="2498"/>
      <c r="U34" s="1295"/>
      <c r="V34" s="2508" t="str">
        <f>IF(TITLE_DATE_PR_CHANGE="",IF(TITLE_DATE_PR="","",TITLE_DATE_PR),TITLE_DATE_PR_CHANGE)</f>
        <v/>
      </c>
      <c r="W34" s="2508"/>
      <c r="X34" s="2508"/>
      <c r="Y34" s="2508"/>
      <c r="Z34" s="2508"/>
      <c r="AA34" s="2508"/>
      <c r="AB34" s="2508"/>
      <c r="AC34" s="263"/>
      <c r="AD34" s="2508" t="str">
        <f>IF(TITLE_DATE_PR_CHANGE="",IF(TITLE_DATE_PR="","",TITLE_DATE_PR),TITLE_DATE_PR_CHANGE)</f>
        <v/>
      </c>
      <c r="AE34" s="2508"/>
      <c r="AF34" s="2508"/>
      <c r="AG34" s="2508"/>
      <c r="AH34" s="2508"/>
      <c r="AI34" s="2508"/>
      <c r="AJ34" s="2508"/>
      <c r="AK34" s="263"/>
      <c r="AL34" s="263"/>
      <c r="AM34" s="217"/>
      <c r="AN34" s="304"/>
      <c r="AO34" s="304"/>
      <c r="AP34" s="304"/>
      <c r="AQ34" s="304"/>
      <c r="AR34" s="304"/>
      <c r="AS34" s="354">
        <v>0</v>
      </c>
    </row>
    <row r="35" spans="1:45" s="1770" customFormat="1" ht="18.75" hidden="1" customHeight="1">
      <c r="A35" s="1291"/>
      <c r="B35" s="1291"/>
      <c r="C35" s="1291"/>
      <c r="D35" s="1291"/>
      <c r="E35" s="1291"/>
      <c r="F35" s="1291"/>
      <c r="G35" s="1291"/>
      <c r="H35" s="1291"/>
      <c r="I35" s="1291"/>
      <c r="J35" s="1291"/>
      <c r="K35" s="1291"/>
      <c r="L35" s="1292"/>
      <c r="M35" s="1291"/>
      <c r="N35" s="1291"/>
      <c r="O35" s="1291"/>
      <c r="S35" s="2498" t="str">
        <f>"Номер подачи заявления об "&amp;IF(TITLE_DATE_PR_CHANGE="","утверждении","изменении")&amp;" тарифов"</f>
        <v>Номер подачи заявления об утверждении тарифов</v>
      </c>
      <c r="T35" s="2498"/>
      <c r="U35" s="1295"/>
      <c r="V35" s="2499" t="str">
        <f>IF(TITLE_NUMBER_PR_CHANGE="",IF(TITLE_NUMBER_PR="","",TITLE_NUMBER_PR),TITLE_NUMBER_PR_CHANGE)</f>
        <v/>
      </c>
      <c r="W35" s="2499"/>
      <c r="X35" s="2499"/>
      <c r="Y35" s="2499"/>
      <c r="Z35" s="2499"/>
      <c r="AA35" s="2499"/>
      <c r="AB35" s="2499"/>
      <c r="AC35" s="263"/>
      <c r="AD35" s="2499" t="str">
        <f>IF(TITLE_NUMBER_PR_CHANGE="",IF(TITLE_NUMBER_PR="","",TITLE_NUMBER_PR),TITLE_NUMBER_PR_CHANGE)</f>
        <v/>
      </c>
      <c r="AE35" s="2499"/>
      <c r="AF35" s="2499"/>
      <c r="AG35" s="2499"/>
      <c r="AH35" s="2499"/>
      <c r="AI35" s="2499"/>
      <c r="AJ35" s="2499"/>
      <c r="AK35" s="263"/>
      <c r="AL35" s="263"/>
      <c r="AM35" s="217"/>
      <c r="AN35" s="304"/>
      <c r="AO35" s="304"/>
      <c r="AP35" s="304"/>
      <c r="AQ35" s="304"/>
      <c r="AR35" s="304"/>
      <c r="AS35" s="354">
        <v>0</v>
      </c>
    </row>
    <row r="36" spans="1:45" s="1770" customFormat="1" ht="0" hidden="1" customHeight="1">
      <c r="A36" s="1291"/>
      <c r="B36" s="1291"/>
      <c r="C36" s="1291"/>
      <c r="D36" s="1291"/>
      <c r="E36" s="1291"/>
      <c r="F36" s="1291"/>
      <c r="G36" s="1291"/>
      <c r="H36" s="1291"/>
      <c r="I36" s="1291"/>
      <c r="J36" s="1291"/>
      <c r="K36" s="1291"/>
      <c r="L36" s="1292"/>
      <c r="M36" s="1291"/>
      <c r="N36" s="1291"/>
      <c r="O36" s="1291"/>
      <c r="S36" s="260"/>
      <c r="T36" s="260"/>
      <c r="U36" s="1263"/>
      <c r="V36" s="263"/>
      <c r="W36" s="263"/>
      <c r="X36" s="263"/>
      <c r="Y36" s="263"/>
      <c r="Z36" s="263"/>
      <c r="AA36" s="263"/>
      <c r="AB36" s="263"/>
      <c r="AC36" s="215" t="s">
        <v>442</v>
      </c>
      <c r="AD36" s="263"/>
      <c r="AE36" s="263"/>
      <c r="AF36" s="263"/>
      <c r="AG36" s="263"/>
      <c r="AH36" s="263"/>
      <c r="AI36" s="263"/>
      <c r="AJ36" s="263"/>
      <c r="AK36" s="215" t="s">
        <v>442</v>
      </c>
      <c r="AN36" s="304"/>
      <c r="AO36" s="304"/>
      <c r="AP36" s="304"/>
      <c r="AQ36" s="304"/>
      <c r="AR36" s="304"/>
      <c r="AS36" s="354">
        <v>0</v>
      </c>
    </row>
    <row r="37" spans="1:45" ht="14.65" customHeight="1">
      <c r="Q37" s="312"/>
      <c r="R37" s="312"/>
      <c r="S37" s="1198"/>
      <c r="T37" s="299"/>
      <c r="U37" s="1167"/>
      <c r="V37" s="2500"/>
      <c r="W37" s="2500"/>
      <c r="X37" s="2500"/>
      <c r="Y37" s="2500"/>
      <c r="Z37" s="2500"/>
      <c r="AA37" s="2500"/>
      <c r="AB37" s="2500"/>
      <c r="AC37" s="2500"/>
      <c r="AD37" s="2500"/>
      <c r="AE37" s="2500"/>
      <c r="AF37" s="2500"/>
      <c r="AG37" s="2500"/>
      <c r="AH37" s="2500"/>
      <c r="AI37" s="2500"/>
      <c r="AJ37" s="2500"/>
      <c r="AK37" s="2500"/>
      <c r="AS37" s="1078">
        <v>14</v>
      </c>
    </row>
    <row r="38" spans="1:45" ht="14.65" customHeight="1">
      <c r="Q38" s="312"/>
      <c r="R38" s="312"/>
      <c r="S38" s="2371" t="s">
        <v>319</v>
      </c>
      <c r="T38" s="2371"/>
      <c r="U38" s="2371"/>
      <c r="V38" s="2371"/>
      <c r="W38" s="2371"/>
      <c r="X38" s="2371"/>
      <c r="Y38" s="2371"/>
      <c r="Z38" s="2371"/>
      <c r="AA38" s="2371"/>
      <c r="AB38" s="2371"/>
      <c r="AC38" s="2371"/>
      <c r="AD38" s="2371"/>
      <c r="AE38" s="2371"/>
      <c r="AF38" s="2371"/>
      <c r="AG38" s="2371"/>
      <c r="AH38" s="2371"/>
      <c r="AI38" s="2371"/>
      <c r="AJ38" s="2371"/>
      <c r="AK38" s="2371"/>
      <c r="AL38" s="2371"/>
      <c r="AM38" s="2371" t="s">
        <v>320</v>
      </c>
      <c r="AS38" s="1078">
        <v>14</v>
      </c>
    </row>
    <row r="39" spans="1:45" ht="14.65" customHeight="1">
      <c r="Q39" s="312"/>
      <c r="R39" s="312"/>
      <c r="S39" s="2514" t="s">
        <v>89</v>
      </c>
      <c r="T39" s="2466" t="s">
        <v>443</v>
      </c>
      <c r="U39" s="238"/>
      <c r="V39" s="2515" t="s">
        <v>444</v>
      </c>
      <c r="W39" s="2516"/>
      <c r="X39" s="2532"/>
      <c r="Y39" s="2532"/>
      <c r="Z39" s="2516"/>
      <c r="AA39" s="2516"/>
      <c r="AB39" s="2517"/>
      <c r="AC39" s="2518" t="s">
        <v>445</v>
      </c>
      <c r="AD39" s="2515" t="s">
        <v>444</v>
      </c>
      <c r="AE39" s="2516"/>
      <c r="AF39" s="2532"/>
      <c r="AG39" s="2532"/>
      <c r="AH39" s="2516"/>
      <c r="AI39" s="2516"/>
      <c r="AJ39" s="2517"/>
      <c r="AK39" s="2518" t="s">
        <v>446</v>
      </c>
      <c r="AL39" s="2521" t="s">
        <v>447</v>
      </c>
      <c r="AM39" s="2371"/>
      <c r="AS39" s="1078">
        <v>14</v>
      </c>
    </row>
    <row r="40" spans="1:45" ht="24" customHeight="1">
      <c r="Q40" s="312"/>
      <c r="R40" s="312"/>
      <c r="S40" s="2514"/>
      <c r="T40" s="2466"/>
      <c r="U40" s="958"/>
      <c r="V40" s="2533" t="s">
        <v>448</v>
      </c>
      <c r="W40" s="2452" t="s">
        <v>449</v>
      </c>
      <c r="X40" s="1299" t="s">
        <v>450</v>
      </c>
      <c r="Y40" s="1299"/>
      <c r="Z40" s="2356" t="s">
        <v>451</v>
      </c>
      <c r="AA40" s="2356"/>
      <c r="AB40" s="2349"/>
      <c r="AC40" s="2519"/>
      <c r="AD40" s="2533" t="s">
        <v>448</v>
      </c>
      <c r="AE40" s="2452" t="s">
        <v>449</v>
      </c>
      <c r="AF40" s="1299" t="s">
        <v>450</v>
      </c>
      <c r="AG40" s="1299"/>
      <c r="AH40" s="2356" t="s">
        <v>451</v>
      </c>
      <c r="AI40" s="2356"/>
      <c r="AJ40" s="2349"/>
      <c r="AK40" s="2519"/>
      <c r="AL40" s="2522"/>
      <c r="AM40" s="2371"/>
      <c r="AS40" s="1078">
        <v>23</v>
      </c>
    </row>
    <row r="41" spans="1:45" s="1189" customFormat="1" ht="24" customHeight="1">
      <c r="A41" s="1293"/>
      <c r="B41" s="1293" t="s">
        <v>156</v>
      </c>
      <c r="C41" s="1293" t="s">
        <v>157</v>
      </c>
      <c r="D41" s="1293" t="s">
        <v>158</v>
      </c>
      <c r="E41" s="1287" t="s">
        <v>452</v>
      </c>
      <c r="F41" s="1287" t="s">
        <v>453</v>
      </c>
      <c r="G41" s="1287" t="s">
        <v>454</v>
      </c>
      <c r="H41" s="1287" t="s">
        <v>455</v>
      </c>
      <c r="I41" s="1287" t="s">
        <v>456</v>
      </c>
      <c r="J41" s="1287" t="s">
        <v>457</v>
      </c>
      <c r="K41" s="1287" t="s">
        <v>458</v>
      </c>
      <c r="L41" s="1287" t="s">
        <v>437</v>
      </c>
      <c r="M41" s="1285"/>
      <c r="N41" s="1285"/>
      <c r="O41" s="1285"/>
      <c r="P41" s="1251"/>
      <c r="Q41" s="312"/>
      <c r="R41" s="312"/>
      <c r="S41" s="2514"/>
      <c r="T41" s="2466"/>
      <c r="U41" s="239"/>
      <c r="V41" s="2534"/>
      <c r="W41" s="2457"/>
      <c r="X41" s="1296" t="s">
        <v>459</v>
      </c>
      <c r="Y41" s="1296" t="s">
        <v>460</v>
      </c>
      <c r="Z41" s="1257" t="s">
        <v>461</v>
      </c>
      <c r="AA41" s="2474" t="s">
        <v>462</v>
      </c>
      <c r="AB41" s="2476"/>
      <c r="AC41" s="2520"/>
      <c r="AD41" s="2534"/>
      <c r="AE41" s="2457"/>
      <c r="AF41" s="1296" t="s">
        <v>459</v>
      </c>
      <c r="AG41" s="1296" t="s">
        <v>460</v>
      </c>
      <c r="AH41" s="1257" t="s">
        <v>461</v>
      </c>
      <c r="AI41" s="2474" t="s">
        <v>462</v>
      </c>
      <c r="AJ41" s="2476"/>
      <c r="AK41" s="2520"/>
      <c r="AL41" s="2523"/>
      <c r="AM41" s="2371"/>
      <c r="AN41" s="447"/>
      <c r="AO41" s="436"/>
      <c r="AP41" s="436"/>
      <c r="AQ41" s="436"/>
      <c r="AR41" s="436"/>
      <c r="AS41" s="518">
        <v>23</v>
      </c>
    </row>
    <row r="42" spans="1:45" s="1564" customFormat="1" ht="11.25" hidden="1" customHeight="1">
      <c r="A42" s="1293"/>
      <c r="B42" s="1293"/>
      <c r="C42" s="1293"/>
      <c r="D42" s="1293"/>
      <c r="E42" s="1293"/>
      <c r="F42" s="1293"/>
      <c r="G42" s="1293"/>
      <c r="H42" s="1293"/>
      <c r="I42" s="1293"/>
      <c r="J42" s="1293"/>
      <c r="K42" s="1293"/>
      <c r="L42" s="1287"/>
      <c r="M42" s="1285"/>
      <c r="N42" s="1285"/>
      <c r="O42" s="1285"/>
      <c r="P42" s="1169"/>
      <c r="Q42" s="1170"/>
      <c r="R42" s="1177">
        <v>1</v>
      </c>
      <c r="S42" s="1200" t="s">
        <v>100</v>
      </c>
      <c r="T42" s="1178" t="s">
        <v>103</v>
      </c>
      <c r="U42" s="1168" t="str">
        <f ca="1">OFFSET(U42,0,-1)</f>
        <v>2</v>
      </c>
      <c r="V42" s="1258">
        <f ca="1">OFFSET(V42,0,-1)+1</f>
        <v>3</v>
      </c>
      <c r="W42" s="1258"/>
      <c r="X42" s="1264">
        <f ca="1">OFFSET(X42,0,-1)+1</f>
        <v>1</v>
      </c>
      <c r="Y42" s="1264">
        <f ca="1">OFFSET(Y42,0,-1)+1</f>
        <v>2</v>
      </c>
      <c r="Z42" s="1258">
        <f ca="1">OFFSET(Z42,0,-1)+1</f>
        <v>3</v>
      </c>
      <c r="AA42" s="2513">
        <f ca="1">OFFSET(AA42,0,-1)+1</f>
        <v>4</v>
      </c>
      <c r="AB42" s="2513"/>
      <c r="AC42" s="1258">
        <f ca="1">OFFSET(AC42,0,-2)+1</f>
        <v>5</v>
      </c>
      <c r="AD42" s="1258">
        <f ca="1">OFFSET(AD42,0,-1)+1</f>
        <v>6</v>
      </c>
      <c r="AE42" s="1258"/>
      <c r="AF42" s="1264">
        <f ca="1">OFFSET(AF42,0,-1)+1</f>
        <v>1</v>
      </c>
      <c r="AG42" s="1264">
        <f ca="1">OFFSET(AG42,0,-1)+1</f>
        <v>2</v>
      </c>
      <c r="AH42" s="1258">
        <f ca="1">OFFSET(AH42,0,-1)+1</f>
        <v>3</v>
      </c>
      <c r="AI42" s="2513">
        <f ca="1">OFFSET(AI42,0,-1)+1</f>
        <v>4</v>
      </c>
      <c r="AJ42" s="2513"/>
      <c r="AK42" s="1258">
        <f ca="1">OFFSET(AK42,0,-2)+1</f>
        <v>5</v>
      </c>
      <c r="AL42" s="1168">
        <f ca="1">OFFSET(AL42,0,-1)</f>
        <v>5</v>
      </c>
      <c r="AM42" s="1258">
        <f ca="1">OFFSET(AM42,0,-1)+1</f>
        <v>6</v>
      </c>
      <c r="AN42" s="447"/>
      <c r="AO42" s="447"/>
      <c r="AP42" s="447"/>
      <c r="AQ42" s="447"/>
      <c r="AR42" s="447"/>
      <c r="AS42" s="432">
        <v>0</v>
      </c>
    </row>
    <row r="43" spans="1:45" ht="21.95" customHeight="1">
      <c r="A43" s="1286" t="s">
        <v>213</v>
      </c>
      <c r="B43" s="1286"/>
      <c r="C43" s="1286"/>
      <c r="D43" s="1286"/>
      <c r="E43" s="2506">
        <v>1</v>
      </c>
      <c r="F43" s="1286"/>
      <c r="G43" s="1286"/>
      <c r="H43" s="1286"/>
      <c r="I43" s="1286"/>
      <c r="J43" s="1286"/>
      <c r="K43" s="1286"/>
      <c r="L43" s="1287"/>
      <c r="M43" s="1288"/>
      <c r="N43" s="1288"/>
      <c r="O43" s="1288"/>
      <c r="P43" s="297"/>
      <c r="Q43" s="296"/>
      <c r="R43" s="291"/>
      <c r="S43" s="1259">
        <f>INDEX(PT_DIFFERENTIATION_NUM_NTAR,MATCH(A43,PT_DIFFERENTIATION_NTAR_ID,0))</f>
        <v>0</v>
      </c>
      <c r="T43" s="235" t="s">
        <v>144</v>
      </c>
      <c r="U43" s="237"/>
      <c r="V43" s="2492"/>
      <c r="W43" s="2493"/>
      <c r="X43" s="2493"/>
      <c r="Y43" s="2493"/>
      <c r="Z43" s="2493"/>
      <c r="AA43" s="2493"/>
      <c r="AB43" s="2493"/>
      <c r="AC43" s="2494"/>
      <c r="AD43" s="2492" t="str">
        <f>INDEX(PT_DIFFERENTIATION_NTAR,MATCH(A43,PT_DIFFERENTIATION_NTAR_ID,0))</f>
        <v/>
      </c>
      <c r="AE43" s="2493"/>
      <c r="AF43" s="2493"/>
      <c r="AG43" s="2493"/>
      <c r="AH43" s="2493"/>
      <c r="AI43" s="2493"/>
      <c r="AJ43" s="2493"/>
      <c r="AK43" s="2493"/>
      <c r="AL43" s="2494"/>
      <c r="AM43" s="118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8">
        <v>21</v>
      </c>
    </row>
    <row r="44" spans="1:45" ht="21.95" customHeight="1">
      <c r="A44" s="1286" t="s">
        <v>213</v>
      </c>
      <c r="B44" s="1286" t="s">
        <v>214</v>
      </c>
      <c r="C44" s="1286"/>
      <c r="D44" s="1286"/>
      <c r="E44" s="2507"/>
      <c r="F44" s="2506">
        <v>1</v>
      </c>
      <c r="G44" s="1286"/>
      <c r="H44" s="1286"/>
      <c r="I44" s="1286"/>
      <c r="J44" s="1286"/>
      <c r="K44" s="1286"/>
      <c r="L44" s="1287"/>
      <c r="M44" s="1288"/>
      <c r="N44" s="1288"/>
      <c r="O44" s="1288"/>
      <c r="P44" s="1255"/>
      <c r="Q44" s="288"/>
      <c r="R44" s="289"/>
      <c r="S44" s="1259" t="str">
        <f>INDEX(PT_DIFFERENTIATION_NUM_TER,MATCH(B44,PT_DIFFERENTIATION_TER_ID,0))</f>
        <v>.</v>
      </c>
      <c r="T44" s="245" t="s">
        <v>416</v>
      </c>
      <c r="U44" s="237"/>
      <c r="V44" s="2492"/>
      <c r="W44" s="2493"/>
      <c r="X44" s="2493"/>
      <c r="Y44" s="2493"/>
      <c r="Z44" s="2493"/>
      <c r="AA44" s="2493"/>
      <c r="AB44" s="2493"/>
      <c r="AC44" s="2494"/>
      <c r="AD44" s="2492" t="str">
        <f>INDEX(PT_DIFFERENTIATION_TER,MATCH(B44,PT_DIFFERENTIATION_TER_ID,0))</f>
        <v/>
      </c>
      <c r="AE44" s="2493"/>
      <c r="AF44" s="2493"/>
      <c r="AG44" s="2493"/>
      <c r="AH44" s="2493"/>
      <c r="AI44" s="2493"/>
      <c r="AJ44" s="2493"/>
      <c r="AK44" s="2493"/>
      <c r="AL44" s="2494"/>
      <c r="AM44" s="1181" t="s">
        <v>417</v>
      </c>
      <c r="AO44" s="436"/>
      <c r="AP44" s="436" t="str">
        <f t="shared" si="1"/>
        <v>Территория действия тарифа</v>
      </c>
      <c r="AQ44" s="436"/>
      <c r="AR44" s="436"/>
      <c r="AS44" s="1078">
        <v>21</v>
      </c>
    </row>
    <row r="45" spans="1:45" ht="24" customHeight="1">
      <c r="A45" s="1286" t="s">
        <v>213</v>
      </c>
      <c r="B45" s="1286" t="s">
        <v>214</v>
      </c>
      <c r="C45" s="1286" t="s">
        <v>215</v>
      </c>
      <c r="D45" s="1286"/>
      <c r="E45" s="2507"/>
      <c r="F45" s="2507"/>
      <c r="G45" s="2506">
        <v>1</v>
      </c>
      <c r="H45" s="1286"/>
      <c r="I45" s="1286"/>
      <c r="J45" s="1286"/>
      <c r="K45" s="1286"/>
      <c r="L45" s="1287"/>
      <c r="M45" s="1288"/>
      <c r="N45" s="1288"/>
      <c r="O45" s="1288"/>
      <c r="P45" s="290"/>
      <c r="Q45" s="288"/>
      <c r="R45" s="289"/>
      <c r="S45" s="1259" t="str">
        <f>INDEX(PT_DIFFERENTIATION_NUM_CS,MATCH(C45,PT_DIFFERENTIATION_CS_ID,0))</f>
        <v>..</v>
      </c>
      <c r="T45" s="246" t="s">
        <v>418</v>
      </c>
      <c r="U45" s="237"/>
      <c r="V45" s="2492"/>
      <c r="W45" s="2493"/>
      <c r="X45" s="2493"/>
      <c r="Y45" s="2493"/>
      <c r="Z45" s="2493"/>
      <c r="AA45" s="2493"/>
      <c r="AB45" s="2493"/>
      <c r="AC45" s="2494"/>
      <c r="AD45" s="2492" t="str">
        <f>INDEX(PT_DIFFERENTIATION_CS,MATCH(C45,PT_DIFFERENTIATION_CS_ID,0))</f>
        <v/>
      </c>
      <c r="AE45" s="2493"/>
      <c r="AF45" s="2493"/>
      <c r="AG45" s="2493"/>
      <c r="AH45" s="2493"/>
      <c r="AI45" s="2493"/>
      <c r="AJ45" s="2493"/>
      <c r="AK45" s="2493"/>
      <c r="AL45" s="2494"/>
      <c r="AM45" s="1181" t="s">
        <v>419</v>
      </c>
      <c r="AO45" s="436"/>
      <c r="AP45" s="436" t="str">
        <f t="shared" si="1"/>
        <v xml:space="preserve">Наименование системы теплоснабжения </v>
      </c>
      <c r="AQ45" s="436"/>
      <c r="AR45" s="436"/>
      <c r="AS45" s="1078">
        <v>23</v>
      </c>
    </row>
    <row r="46" spans="1:45" ht="21.95" customHeight="1">
      <c r="A46" s="1286" t="s">
        <v>213</v>
      </c>
      <c r="B46" s="1286" t="s">
        <v>214</v>
      </c>
      <c r="C46" s="1286" t="s">
        <v>215</v>
      </c>
      <c r="D46" s="1286" t="s">
        <v>216</v>
      </c>
      <c r="E46" s="2507"/>
      <c r="F46" s="2507"/>
      <c r="G46" s="2507"/>
      <c r="H46" s="2506">
        <v>1</v>
      </c>
      <c r="I46" s="1286"/>
      <c r="J46" s="1286"/>
      <c r="K46" s="1286"/>
      <c r="L46" s="1287"/>
      <c r="M46" s="1288"/>
      <c r="N46" s="1288"/>
      <c r="O46" s="1288"/>
      <c r="P46" s="290"/>
      <c r="Q46" s="288"/>
      <c r="R46" s="289"/>
      <c r="S46" s="1259" t="str">
        <f>INDEX(PT_DIFFERENTIATION_NUM_IST_TE,MATCH(D46,PT_DIFFERENTIATION_IST_TE_ID,0))</f>
        <v>...</v>
      </c>
      <c r="T46" s="247" t="s">
        <v>420</v>
      </c>
      <c r="U46" s="237"/>
      <c r="V46" s="2492"/>
      <c r="W46" s="2493"/>
      <c r="X46" s="2493"/>
      <c r="Y46" s="2493"/>
      <c r="Z46" s="2493"/>
      <c r="AA46" s="2493"/>
      <c r="AB46" s="2493"/>
      <c r="AC46" s="2494"/>
      <c r="AD46" s="2492" t="str">
        <f>INDEX(PT_DIFFERENTIATION_IST_TE,MATCH(D46,PT_DIFFERENTIATION_IST_TE_ID,0))</f>
        <v/>
      </c>
      <c r="AE46" s="2493"/>
      <c r="AF46" s="2493"/>
      <c r="AG46" s="2493"/>
      <c r="AH46" s="2493"/>
      <c r="AI46" s="2493"/>
      <c r="AJ46" s="2493"/>
      <c r="AK46" s="2493"/>
      <c r="AL46" s="2494"/>
      <c r="AM46" s="1181" t="s">
        <v>421</v>
      </c>
      <c r="AO46" s="436"/>
      <c r="AP46" s="436" t="str">
        <f t="shared" si="1"/>
        <v xml:space="preserve">Источник тепловой энергии  </v>
      </c>
      <c r="AQ46" s="436"/>
      <c r="AR46" s="436"/>
      <c r="AS46" s="1078">
        <v>21</v>
      </c>
    </row>
    <row r="47" spans="1:45" ht="49.5" customHeight="1">
      <c r="A47" s="1286" t="s">
        <v>213</v>
      </c>
      <c r="B47" s="1286" t="s">
        <v>214</v>
      </c>
      <c r="C47" s="1286" t="s">
        <v>215</v>
      </c>
      <c r="D47" s="1286" t="s">
        <v>216</v>
      </c>
      <c r="E47" s="2507"/>
      <c r="F47" s="2507"/>
      <c r="G47" s="2507"/>
      <c r="H47" s="2507"/>
      <c r="I47" s="2504" t="str">
        <f>S46&amp;".1"</f>
        <v>....1</v>
      </c>
      <c r="J47" s="1286"/>
      <c r="K47" s="1286"/>
      <c r="L47" s="1287" t="s">
        <v>422</v>
      </c>
      <c r="P47" s="2505">
        <v>1</v>
      </c>
      <c r="Q47" s="1254"/>
      <c r="R47" s="292"/>
      <c r="S47" s="1259" t="str">
        <f>$I47</f>
        <v>....1</v>
      </c>
      <c r="T47" s="222" t="s">
        <v>423</v>
      </c>
      <c r="U47" s="237"/>
      <c r="V47" s="2495"/>
      <c r="W47" s="2496"/>
      <c r="X47" s="2496"/>
      <c r="Y47" s="2496"/>
      <c r="Z47" s="2496"/>
      <c r="AA47" s="2496"/>
      <c r="AB47" s="2496"/>
      <c r="AC47" s="2497"/>
      <c r="AD47" s="2495"/>
      <c r="AE47" s="2496"/>
      <c r="AF47" s="2496"/>
      <c r="AG47" s="2496"/>
      <c r="AH47" s="2496"/>
      <c r="AI47" s="2496"/>
      <c r="AJ47" s="2496"/>
      <c r="AK47" s="2496"/>
      <c r="AL47" s="2497"/>
      <c r="AM47" s="1181" t="s">
        <v>424</v>
      </c>
      <c r="AO47" s="436"/>
      <c r="AP47" s="436" t="str">
        <f t="shared" si="1"/>
        <v>Схема подключения теплопотребляющей установки к коллектору источника тепловой энергии</v>
      </c>
      <c r="AQ47" s="436"/>
      <c r="AR47" s="436"/>
      <c r="AS47" s="1078">
        <v>47</v>
      </c>
    </row>
    <row r="48" spans="1:45" ht="21.95" customHeight="1">
      <c r="A48" s="1286" t="s">
        <v>213</v>
      </c>
      <c r="B48" s="1286" t="s">
        <v>214</v>
      </c>
      <c r="C48" s="1286" t="s">
        <v>215</v>
      </c>
      <c r="D48" s="1286" t="s">
        <v>216</v>
      </c>
      <c r="E48" s="2507"/>
      <c r="F48" s="2507"/>
      <c r="G48" s="2507"/>
      <c r="H48" s="2507"/>
      <c r="I48" s="2527"/>
      <c r="J48" s="2504" t="str">
        <f>I47&amp;".1"</f>
        <v>....1.1</v>
      </c>
      <c r="K48" s="1286"/>
      <c r="L48" s="1287" t="s">
        <v>425</v>
      </c>
      <c r="P48" s="2505"/>
      <c r="Q48" s="2505">
        <v>1</v>
      </c>
      <c r="R48" s="293"/>
      <c r="S48" s="1259" t="str">
        <f>$J48</f>
        <v>....1.1</v>
      </c>
      <c r="T48" s="223" t="s">
        <v>426</v>
      </c>
      <c r="U48" s="237"/>
      <c r="V48" s="2495"/>
      <c r="W48" s="2496"/>
      <c r="X48" s="2496"/>
      <c r="Y48" s="2496"/>
      <c r="Z48" s="2496"/>
      <c r="AA48" s="2496"/>
      <c r="AB48" s="2496"/>
      <c r="AC48" s="2497"/>
      <c r="AD48" s="2495"/>
      <c r="AE48" s="2496"/>
      <c r="AF48" s="2496"/>
      <c r="AG48" s="2496"/>
      <c r="AH48" s="2496"/>
      <c r="AI48" s="2496"/>
      <c r="AJ48" s="2496"/>
      <c r="AK48" s="2496"/>
      <c r="AL48" s="2497"/>
      <c r="AM48" s="1181" t="s">
        <v>427</v>
      </c>
      <c r="AO48" s="436"/>
      <c r="AP48" s="436" t="str">
        <f t="shared" si="1"/>
        <v>Группа потребителей</v>
      </c>
      <c r="AQ48" s="436"/>
      <c r="AR48" s="436"/>
      <c r="AS48" s="1078">
        <v>21</v>
      </c>
    </row>
    <row r="49" spans="1:45" ht="21.95" customHeight="1">
      <c r="A49" s="1286" t="s">
        <v>213</v>
      </c>
      <c r="B49" s="1286" t="s">
        <v>214</v>
      </c>
      <c r="C49" s="1286" t="s">
        <v>215</v>
      </c>
      <c r="D49" s="1286" t="s">
        <v>216</v>
      </c>
      <c r="E49" s="2507"/>
      <c r="F49" s="2507"/>
      <c r="G49" s="2507"/>
      <c r="H49" s="2507"/>
      <c r="I49" s="2527"/>
      <c r="J49" s="2527"/>
      <c r="K49" s="2504" t="str">
        <f>J48&amp;".1"</f>
        <v>....1.1.1</v>
      </c>
      <c r="L49" s="1287" t="s">
        <v>428</v>
      </c>
      <c r="P49" s="2505"/>
      <c r="Q49" s="2505"/>
      <c r="R49" s="293">
        <v>1</v>
      </c>
      <c r="S49" s="1259" t="str">
        <f>$K49</f>
        <v>....1.1.1</v>
      </c>
      <c r="T49" s="1270"/>
      <c r="U49" s="237"/>
      <c r="V49" s="262"/>
      <c r="W49" s="686"/>
      <c r="X49" s="262"/>
      <c r="Y49" s="320"/>
      <c r="Z49" s="2509"/>
      <c r="AA49" s="2360" t="s">
        <v>63</v>
      </c>
      <c r="AB49" s="2509"/>
      <c r="AC49" s="2360" t="s">
        <v>63</v>
      </c>
      <c r="AD49" s="262"/>
      <c r="AE49" s="686"/>
      <c r="AF49" s="262"/>
      <c r="AG49" s="320"/>
      <c r="AH49" s="2509"/>
      <c r="AI49" s="2360" t="s">
        <v>63</v>
      </c>
      <c r="AJ49" s="2528"/>
      <c r="AK49" s="2360" t="s">
        <v>63</v>
      </c>
      <c r="AL49" s="1271"/>
      <c r="AM49" s="2501" t="s">
        <v>429</v>
      </c>
      <c r="AN49" s="447" t="e">
        <f ca="1">STRCHECKDATE(V50:AL50)</f>
        <v>#NAME?</v>
      </c>
      <c r="AO49" s="436"/>
      <c r="AP49" s="436" t="str">
        <f t="shared" si="1"/>
        <v/>
      </c>
      <c r="AQ49" s="436"/>
      <c r="AR49" s="436"/>
      <c r="AS49" s="1078">
        <v>21</v>
      </c>
    </row>
    <row r="50" spans="1:45" ht="1.1499999999999999" customHeight="1">
      <c r="A50" s="1286" t="s">
        <v>213</v>
      </c>
      <c r="B50" s="1286" t="s">
        <v>214</v>
      </c>
      <c r="C50" s="1286" t="s">
        <v>215</v>
      </c>
      <c r="D50" s="1286" t="s">
        <v>216</v>
      </c>
      <c r="E50" s="2507"/>
      <c r="F50" s="2507"/>
      <c r="G50" s="2507"/>
      <c r="H50" s="2507"/>
      <c r="I50" s="2527"/>
      <c r="J50" s="2527"/>
      <c r="K50" s="2504"/>
      <c r="L50" s="1287"/>
      <c r="P50" s="2505"/>
      <c r="Q50" s="2505"/>
      <c r="R50" s="293"/>
      <c r="S50" s="1265"/>
      <c r="T50" s="237"/>
      <c r="U50" s="237"/>
      <c r="V50" s="262"/>
      <c r="W50" s="262"/>
      <c r="X50" s="262"/>
      <c r="Y50" s="265" t="str">
        <f>Z49&amp;"-"&amp;AB49</f>
        <v>-</v>
      </c>
      <c r="Z50" s="2510"/>
      <c r="AA50" s="2360"/>
      <c r="AB50" s="2510"/>
      <c r="AC50" s="2360"/>
      <c r="AD50" s="262"/>
      <c r="AE50" s="262"/>
      <c r="AF50" s="262"/>
      <c r="AG50" s="265" t="str">
        <f>AH49&amp;"-"&amp;AJ49</f>
        <v>-</v>
      </c>
      <c r="AH50" s="2510"/>
      <c r="AI50" s="2360"/>
      <c r="AJ50" s="2529"/>
      <c r="AK50" s="2360"/>
      <c r="AL50" s="1272"/>
      <c r="AM50" s="2502"/>
      <c r="AO50" s="436"/>
      <c r="AP50" s="436" t="str">
        <f t="shared" si="1"/>
        <v/>
      </c>
      <c r="AQ50" s="436"/>
      <c r="AR50" s="436"/>
      <c r="AS50" s="1078">
        <v>1</v>
      </c>
    </row>
    <row r="51" spans="1:45" ht="11.45" customHeight="1">
      <c r="A51" s="1286" t="s">
        <v>213</v>
      </c>
      <c r="B51" s="1286" t="s">
        <v>214</v>
      </c>
      <c r="C51" s="1286" t="s">
        <v>215</v>
      </c>
      <c r="D51" s="1286" t="s">
        <v>216</v>
      </c>
      <c r="E51" s="2507"/>
      <c r="F51" s="2507"/>
      <c r="G51" s="2507"/>
      <c r="H51" s="2507"/>
      <c r="I51" s="2527"/>
      <c r="J51" s="2504"/>
      <c r="K51" s="1286"/>
      <c r="L51" s="1287"/>
      <c r="P51" s="2505"/>
      <c r="Q51" s="2505"/>
      <c r="R51" s="292"/>
      <c r="S51" s="1201"/>
      <c r="T51" s="225" t="s">
        <v>430</v>
      </c>
      <c r="U51" s="303"/>
      <c r="V51" s="303"/>
      <c r="W51" s="303"/>
      <c r="X51" s="303"/>
      <c r="Y51" s="303"/>
      <c r="Z51" s="303"/>
      <c r="AA51" s="303"/>
      <c r="AB51" s="303"/>
      <c r="AC51" s="303"/>
      <c r="AD51" s="303"/>
      <c r="AE51" s="303"/>
      <c r="AF51" s="303"/>
      <c r="AG51" s="303"/>
      <c r="AH51" s="303"/>
      <c r="AI51" s="303"/>
      <c r="AJ51" s="303"/>
      <c r="AK51" s="303"/>
      <c r="AL51" s="261"/>
      <c r="AM51" s="2503"/>
      <c r="AO51" s="436"/>
      <c r="AP51" s="436" t="str">
        <f t="shared" si="1"/>
        <v>Добавить вид теплоносителя (параметры теплоносителя)</v>
      </c>
      <c r="AQ51" s="436"/>
      <c r="AR51" s="436"/>
      <c r="AS51" s="1078">
        <v>11</v>
      </c>
    </row>
    <row r="52" spans="1:45" ht="11.45" customHeight="1">
      <c r="A52" s="1286" t="s">
        <v>213</v>
      </c>
      <c r="B52" s="1286" t="s">
        <v>214</v>
      </c>
      <c r="C52" s="1286" t="s">
        <v>215</v>
      </c>
      <c r="D52" s="1286" t="s">
        <v>216</v>
      </c>
      <c r="E52" s="2507"/>
      <c r="F52" s="2507"/>
      <c r="G52" s="2507"/>
      <c r="H52" s="2507"/>
      <c r="I52" s="2504"/>
      <c r="J52" s="1286"/>
      <c r="K52" s="1286"/>
      <c r="L52" s="1287"/>
      <c r="P52" s="2505"/>
      <c r="Q52" s="1254"/>
      <c r="R52" s="292"/>
      <c r="S52" s="1201"/>
      <c r="T52" s="224" t="s">
        <v>431</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8">
        <v>11</v>
      </c>
    </row>
    <row r="53" spans="1:45" ht="14.65" customHeight="1">
      <c r="A53" s="1286" t="s">
        <v>213</v>
      </c>
      <c r="B53" s="1286" t="s">
        <v>214</v>
      </c>
      <c r="C53" s="1286" t="s">
        <v>215</v>
      </c>
      <c r="D53" s="1286" t="s">
        <v>216</v>
      </c>
      <c r="E53" s="2507"/>
      <c r="F53" s="2507"/>
      <c r="G53" s="2507"/>
      <c r="H53" s="2506"/>
      <c r="I53" s="1286"/>
      <c r="J53" s="1286"/>
      <c r="K53" s="1286"/>
      <c r="L53" s="1287"/>
      <c r="M53" s="1288"/>
      <c r="N53" s="1288"/>
      <c r="O53" s="473"/>
      <c r="P53" s="296"/>
      <c r="Q53" s="311"/>
      <c r="R53" s="291"/>
      <c r="S53" s="1201"/>
      <c r="T53" s="301" t="s">
        <v>432</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78">
        <v>14</v>
      </c>
    </row>
    <row r="54" spans="1:45" s="1565" customFormat="1" ht="1.1499999999999999" customHeight="1">
      <c r="A54" s="1266" t="s">
        <v>213</v>
      </c>
      <c r="B54" s="1266" t="s">
        <v>214</v>
      </c>
      <c r="C54" s="1266" t="s">
        <v>215</v>
      </c>
      <c r="D54" s="1237"/>
      <c r="E54" s="2507"/>
      <c r="F54" s="2507"/>
      <c r="G54" s="2506"/>
      <c r="H54" s="1237"/>
      <c r="I54" s="1237"/>
      <c r="J54" s="1237"/>
      <c r="K54" s="1237"/>
      <c r="L54" s="1262"/>
      <c r="M54" s="1238"/>
      <c r="N54" s="1238"/>
      <c r="P54" s="1239"/>
      <c r="Q54" s="1240"/>
      <c r="R54" s="1239"/>
      <c r="S54" s="1245"/>
      <c r="T54" s="1248" t="s">
        <v>433</v>
      </c>
      <c r="U54" s="1247"/>
      <c r="V54" s="1247"/>
      <c r="W54" s="1247"/>
      <c r="X54" s="1247"/>
      <c r="Y54" s="1247"/>
      <c r="Z54" s="1247"/>
      <c r="AA54" s="1247"/>
      <c r="AB54" s="1247"/>
      <c r="AC54" s="1247"/>
      <c r="AD54" s="1247"/>
      <c r="AE54" s="1247"/>
      <c r="AF54" s="1247"/>
      <c r="AG54" s="1247"/>
      <c r="AH54" s="1247"/>
      <c r="AI54" s="1247"/>
      <c r="AJ54" s="1247"/>
      <c r="AK54" s="1247"/>
      <c r="AL54" s="1247"/>
      <c r="AM54" s="1247"/>
      <c r="AO54" s="718"/>
      <c r="AP54" s="718" t="str">
        <f t="shared" si="1"/>
        <v>Добавить источник для дифференциации</v>
      </c>
      <c r="AQ54" s="718"/>
      <c r="AR54" s="718"/>
      <c r="AS54" s="454">
        <v>1</v>
      </c>
    </row>
    <row r="55" spans="1:45" s="1565" customFormat="1" ht="1.1499999999999999" customHeight="1">
      <c r="A55" s="1266" t="s">
        <v>213</v>
      </c>
      <c r="B55" s="1266" t="s">
        <v>214</v>
      </c>
      <c r="C55" s="1237"/>
      <c r="D55" s="1237"/>
      <c r="E55" s="2507"/>
      <c r="F55" s="2506"/>
      <c r="G55" s="1237"/>
      <c r="H55" s="1237"/>
      <c r="I55" s="1237"/>
      <c r="J55" s="1237"/>
      <c r="K55" s="1237"/>
      <c r="L55" s="1262"/>
      <c r="M55" s="1244"/>
      <c r="N55" s="1244"/>
      <c r="P55" s="1239"/>
      <c r="Q55" s="1240"/>
      <c r="R55" s="1239"/>
      <c r="S55" s="1245"/>
      <c r="T55" s="1248" t="s">
        <v>434</v>
      </c>
      <c r="U55" s="1247"/>
      <c r="V55" s="1247"/>
      <c r="W55" s="1247"/>
      <c r="X55" s="1247"/>
      <c r="Y55" s="1247"/>
      <c r="Z55" s="1247"/>
      <c r="AA55" s="1247"/>
      <c r="AB55" s="1247"/>
      <c r="AC55" s="1247"/>
      <c r="AD55" s="1247"/>
      <c r="AE55" s="1247"/>
      <c r="AF55" s="1247"/>
      <c r="AG55" s="1247"/>
      <c r="AH55" s="1247"/>
      <c r="AI55" s="1247"/>
      <c r="AJ55" s="1247"/>
      <c r="AK55" s="1247"/>
      <c r="AL55" s="1247"/>
      <c r="AM55" s="1247"/>
      <c r="AO55" s="718"/>
      <c r="AP55" s="718" t="str">
        <f t="shared" si="1"/>
        <v>Добавить централизованную систему для дифференциации</v>
      </c>
      <c r="AQ55" s="718"/>
      <c r="AR55" s="718"/>
      <c r="AS55" s="454">
        <v>1</v>
      </c>
    </row>
    <row r="56" spans="1:45" s="1565" customFormat="1" ht="1.1499999999999999" customHeight="1">
      <c r="A56" s="1266" t="s">
        <v>213</v>
      </c>
      <c r="B56" s="1266"/>
      <c r="C56" s="1266"/>
      <c r="D56" s="1266"/>
      <c r="E56" s="2506"/>
      <c r="F56" s="1266"/>
      <c r="G56" s="1266"/>
      <c r="H56" s="1266"/>
      <c r="I56" s="1266"/>
      <c r="J56" s="1266"/>
      <c r="K56" s="1266"/>
      <c r="L56" s="1269"/>
      <c r="M56" s="1244"/>
      <c r="N56" s="1244"/>
      <c r="O56" s="454"/>
      <c r="P56" s="316"/>
      <c r="Q56" s="1267"/>
      <c r="R56" s="316"/>
      <c r="S56" s="1245"/>
      <c r="T56" s="1248" t="s">
        <v>435</v>
      </c>
      <c r="U56" s="1247"/>
      <c r="V56" s="1247"/>
      <c r="W56" s="1247"/>
      <c r="X56" s="1247"/>
      <c r="Y56" s="1247"/>
      <c r="Z56" s="1247"/>
      <c r="AA56" s="1247"/>
      <c r="AB56" s="1247"/>
      <c r="AC56" s="1247"/>
      <c r="AD56" s="1247"/>
      <c r="AE56" s="1247"/>
      <c r="AF56" s="1247"/>
      <c r="AG56" s="1247"/>
      <c r="AH56" s="1247"/>
      <c r="AI56" s="1247"/>
      <c r="AJ56" s="1247"/>
      <c r="AK56" s="1247"/>
      <c r="AL56" s="1247"/>
      <c r="AM56" s="1247"/>
      <c r="AO56" s="436"/>
      <c r="AP56" s="436" t="str">
        <f t="shared" si="1"/>
        <v>Добавить территорию для дифференциации</v>
      </c>
      <c r="AQ56" s="436"/>
      <c r="AR56" s="436"/>
      <c r="AS56" s="447">
        <v>1</v>
      </c>
    </row>
    <row r="57" spans="1:45" s="1565" customFormat="1" ht="1.1499999999999999" customHeight="1">
      <c r="A57" s="1237"/>
      <c r="B57" s="1237"/>
      <c r="C57" s="1237"/>
      <c r="D57" s="1237"/>
      <c r="E57" s="1266"/>
      <c r="F57" s="1237"/>
      <c r="G57" s="1237"/>
      <c r="H57" s="1237"/>
      <c r="I57" s="1237"/>
      <c r="J57" s="1237"/>
      <c r="K57" s="1237"/>
      <c r="L57" s="1262"/>
      <c r="M57" s="1244"/>
      <c r="N57" s="1244"/>
      <c r="P57" s="1239"/>
      <c r="Q57" s="1240"/>
      <c r="R57" s="1239"/>
      <c r="S57" s="1245"/>
      <c r="T57" s="1248" t="s">
        <v>463</v>
      </c>
      <c r="U57" s="1247"/>
      <c r="V57" s="1247"/>
      <c r="W57" s="1247"/>
      <c r="X57" s="1247"/>
      <c r="Y57" s="1247"/>
      <c r="Z57" s="1247"/>
      <c r="AA57" s="1247"/>
      <c r="AB57" s="1247"/>
      <c r="AC57" s="1247"/>
      <c r="AD57" s="1247"/>
      <c r="AE57" s="1247"/>
      <c r="AF57" s="1247"/>
      <c r="AG57" s="1247"/>
      <c r="AH57" s="1247"/>
      <c r="AI57" s="1247"/>
      <c r="AJ57" s="1247"/>
      <c r="AK57" s="1247"/>
      <c r="AL57" s="1247"/>
      <c r="AM57" s="1247"/>
      <c r="AO57" s="718"/>
      <c r="AP57" s="718" t="str">
        <f t="shared" si="1"/>
        <v>Добавить наименование тарифа</v>
      </c>
      <c r="AQ57" s="718"/>
      <c r="AR57" s="718"/>
      <c r="AS57" s="454">
        <v>1</v>
      </c>
    </row>
    <row r="58" spans="1:45" ht="11.45" customHeight="1">
      <c r="M58" s="1083"/>
      <c r="N58" s="1083"/>
      <c r="O58" s="473"/>
      <c r="P58" s="1078"/>
      <c r="Q58" s="1078"/>
      <c r="R58" s="1078"/>
      <c r="S58" s="1078"/>
      <c r="AN58" s="1078"/>
      <c r="AO58" s="1078"/>
      <c r="AP58" s="1078"/>
      <c r="AQ58" s="1078"/>
      <c r="AR58" s="1078"/>
      <c r="AS58" s="1078">
        <v>11</v>
      </c>
    </row>
    <row r="59" spans="1:45" ht="28.5" customHeight="1">
      <c r="O59" s="473"/>
      <c r="S59" s="1176"/>
      <c r="T59" s="2526"/>
      <c r="U59" s="2526"/>
      <c r="V59" s="2526"/>
      <c r="W59" s="2526"/>
      <c r="X59" s="2526"/>
      <c r="Y59" s="2526"/>
      <c r="Z59" s="2526"/>
      <c r="AA59" s="2526"/>
      <c r="AB59" s="2526"/>
      <c r="AC59" s="2526"/>
      <c r="AD59" s="2526"/>
      <c r="AE59" s="2526"/>
      <c r="AF59" s="2526"/>
      <c r="AG59" s="2526"/>
      <c r="AH59" s="2526"/>
      <c r="AI59" s="2526"/>
      <c r="AJ59" s="2526"/>
      <c r="AK59" s="2526"/>
      <c r="AL59" s="2526"/>
      <c r="AM59" s="2526"/>
      <c r="AS59" s="1078">
        <v>27</v>
      </c>
    </row>
    <row r="60" spans="1:45" ht="78.75" customHeight="1">
      <c r="O60" s="473"/>
      <c r="T60" s="2526"/>
      <c r="U60" s="2526"/>
      <c r="V60" s="2526"/>
      <c r="W60" s="2526"/>
      <c r="X60" s="2526"/>
      <c r="Y60" s="2526"/>
      <c r="Z60" s="2526"/>
      <c r="AA60" s="2526"/>
      <c r="AB60" s="2526"/>
      <c r="AC60" s="2526"/>
      <c r="AD60" s="2526"/>
      <c r="AE60" s="2526"/>
      <c r="AF60" s="2526"/>
      <c r="AG60" s="2526"/>
      <c r="AH60" s="2526"/>
      <c r="AI60" s="2526"/>
      <c r="AJ60" s="2526"/>
      <c r="AK60" s="2526"/>
      <c r="AL60" s="2526"/>
      <c r="AM60" s="2526"/>
      <c r="AS60" s="1078">
        <v>75</v>
      </c>
    </row>
    <row r="61" spans="1:45" ht="14.65" customHeight="1">
      <c r="O61" s="473"/>
      <c r="AS61" s="1078">
        <v>14</v>
      </c>
    </row>
    <row r="62" spans="1:45" ht="18.75" customHeight="1">
      <c r="O62" s="473"/>
      <c r="S62" s="1176"/>
      <c r="T62" s="2526"/>
      <c r="U62" s="2526"/>
      <c r="V62" s="2526"/>
      <c r="W62" s="2526"/>
      <c r="X62" s="2526"/>
      <c r="Y62" s="2526"/>
      <c r="Z62" s="2526"/>
      <c r="AA62" s="2526"/>
      <c r="AB62" s="2526"/>
      <c r="AC62" s="2526"/>
      <c r="AD62" s="2526"/>
      <c r="AE62" s="2526"/>
      <c r="AF62" s="2526"/>
      <c r="AG62" s="2526"/>
      <c r="AH62" s="2526"/>
      <c r="AI62" s="2526"/>
      <c r="AJ62" s="2526"/>
      <c r="AK62" s="2526"/>
      <c r="AL62" s="2526"/>
      <c r="AM62" s="2526"/>
      <c r="AS62" s="1078">
        <v>18</v>
      </c>
    </row>
    <row r="63" spans="1:45" ht="18.75" customHeight="1">
      <c r="O63" s="473"/>
      <c r="T63" s="2526"/>
      <c r="U63" s="2526"/>
      <c r="V63" s="2526"/>
      <c r="W63" s="2526"/>
      <c r="X63" s="2526"/>
      <c r="Y63" s="2526"/>
      <c r="Z63" s="2526"/>
      <c r="AA63" s="2526"/>
      <c r="AB63" s="2526"/>
      <c r="AC63" s="2526"/>
      <c r="AD63" s="2526"/>
      <c r="AE63" s="2526"/>
      <c r="AF63" s="2526"/>
      <c r="AG63" s="2526"/>
      <c r="AH63" s="2526"/>
      <c r="AI63" s="2526"/>
      <c r="AJ63" s="2526"/>
      <c r="AK63" s="2526"/>
      <c r="AL63" s="2526"/>
      <c r="AM63" s="2526"/>
      <c r="AS63" s="1078">
        <v>18</v>
      </c>
    </row>
    <row r="64" spans="1:45" ht="39.75" customHeight="1">
      <c r="O64" s="473"/>
      <c r="S64" s="1176"/>
      <c r="T64" s="2526"/>
      <c r="U64" s="2526"/>
      <c r="V64" s="2526"/>
      <c r="W64" s="2526"/>
      <c r="X64" s="2526"/>
      <c r="Y64" s="2526"/>
      <c r="Z64" s="2526"/>
      <c r="AA64" s="2526"/>
      <c r="AB64" s="2526"/>
      <c r="AC64" s="2526"/>
      <c r="AD64" s="2526"/>
      <c r="AE64" s="2526"/>
      <c r="AF64" s="2526"/>
      <c r="AG64" s="2526"/>
      <c r="AH64" s="2526"/>
      <c r="AI64" s="2526"/>
      <c r="AJ64" s="2526"/>
      <c r="AK64" s="2526"/>
      <c r="AL64" s="2526"/>
      <c r="AM64" s="2526"/>
      <c r="AS64" s="1078">
        <v>38</v>
      </c>
    </row>
    <row r="65" spans="1:45" ht="22.5" hidden="1" customHeight="1">
      <c r="A65" s="1083" t="s">
        <v>83</v>
      </c>
      <c r="B65" s="1083">
        <v>0</v>
      </c>
      <c r="C65" s="1083">
        <v>0</v>
      </c>
      <c r="D65" s="1083">
        <v>0</v>
      </c>
      <c r="E65" s="1083">
        <v>0</v>
      </c>
      <c r="F65" s="1083">
        <v>0</v>
      </c>
      <c r="G65" s="1083">
        <v>0</v>
      </c>
      <c r="H65" s="1083">
        <v>0</v>
      </c>
      <c r="I65" s="1083">
        <v>0</v>
      </c>
      <c r="J65" s="1083">
        <v>0</v>
      </c>
      <c r="K65" s="1083">
        <v>0</v>
      </c>
      <c r="L65" s="1252">
        <v>0</v>
      </c>
      <c r="M65" s="1285">
        <v>0</v>
      </c>
      <c r="N65" s="1285">
        <v>0</v>
      </c>
      <c r="O65" s="1285">
        <v>0</v>
      </c>
      <c r="P65" s="1251">
        <v>3</v>
      </c>
      <c r="Q65" s="281">
        <v>3</v>
      </c>
      <c r="R65" s="281">
        <v>3</v>
      </c>
      <c r="S65" s="517">
        <v>12</v>
      </c>
      <c r="T65" s="1078">
        <v>31</v>
      </c>
      <c r="U65" s="1078">
        <v>0</v>
      </c>
      <c r="V65" s="1078">
        <v>0</v>
      </c>
      <c r="W65" s="1078">
        <v>0</v>
      </c>
      <c r="X65" s="1078">
        <v>0</v>
      </c>
      <c r="Y65" s="1078">
        <v>0</v>
      </c>
      <c r="Z65" s="1078">
        <v>0</v>
      </c>
      <c r="AA65" s="1078">
        <v>0</v>
      </c>
      <c r="AB65" s="1078">
        <v>0</v>
      </c>
      <c r="AC65" s="1078">
        <v>0</v>
      </c>
      <c r="AD65" s="1078">
        <v>0</v>
      </c>
      <c r="AE65" s="1078">
        <v>24</v>
      </c>
      <c r="AF65" s="1078">
        <v>0</v>
      </c>
      <c r="AG65" s="1078">
        <v>0</v>
      </c>
      <c r="AH65" s="1078">
        <v>11</v>
      </c>
      <c r="AI65" s="1078">
        <v>3</v>
      </c>
      <c r="AJ65" s="1078">
        <v>11</v>
      </c>
      <c r="AK65" s="1078">
        <v>0</v>
      </c>
      <c r="AL65" s="1078">
        <v>4</v>
      </c>
      <c r="AM65" s="1078">
        <v>115</v>
      </c>
      <c r="AN65" s="447">
        <v>10</v>
      </c>
      <c r="AO65" s="447">
        <v>10</v>
      </c>
      <c r="AP65" s="447">
        <v>10</v>
      </c>
      <c r="AQ65" s="447">
        <v>10</v>
      </c>
      <c r="AR65" s="447">
        <v>10</v>
      </c>
      <c r="AS65" s="1078">
        <v>23</v>
      </c>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2" style="1289" hidden="1" customWidth="1"/>
    <col min="10" max="10" width="9.85546875" style="1289" hidden="1" customWidth="1"/>
    <col min="11" max="11" width="11.42578125" style="1289" hidden="1" customWidth="1"/>
    <col min="12" max="12" width="19.140625" style="2043" hidden="1" customWidth="1"/>
    <col min="13" max="14" width="12.28515625" style="1696" hidden="1" customWidth="1"/>
    <col min="15" max="15" width="23.42578125" style="1696" hidden="1" customWidth="1"/>
    <col min="16" max="16" width="3.7109375" style="2032" hidden="1" customWidth="1"/>
    <col min="17" max="18" width="3" style="281" customWidth="1"/>
    <col min="19" max="19" width="12" style="2033" customWidth="1"/>
    <col min="20" max="20" width="31" style="1558" customWidth="1"/>
    <col min="21" max="21" width="0.140625" style="1558" customWidth="1"/>
    <col min="22" max="22" width="24.7109375" style="1558" hidden="1" customWidth="1"/>
    <col min="23" max="23" width="0.140625" style="1558" hidden="1" customWidth="1"/>
    <col min="24" max="25" width="24.7109375" style="1558" hidden="1" customWidth="1"/>
    <col min="26" max="26" width="11.7109375" style="1558" hidden="1" customWidth="1"/>
    <col min="27" max="27" width="3.7109375" style="1558" hidden="1" customWidth="1"/>
    <col min="28" max="28" width="11.7109375" style="1558" hidden="1" customWidth="1"/>
    <col min="29" max="29" width="8.5703125" style="1558" hidden="1" customWidth="1"/>
    <col min="30" max="30" width="24.7109375" style="1558" customWidth="1"/>
    <col min="31" max="31" width="0.140625" style="1558" customWidth="1"/>
    <col min="32" max="33" width="24" style="1558" customWidth="1"/>
    <col min="34" max="34" width="11" style="1558" customWidth="1"/>
    <col min="35" max="35" width="3.7109375" style="1558" customWidth="1"/>
    <col min="36" max="36" width="11" style="1558" customWidth="1"/>
    <col min="37" max="37" width="8.5703125" style="1558" hidden="1" customWidth="1"/>
    <col min="38" max="38" width="4" style="1558" customWidth="1"/>
    <col min="39" max="39" width="115" style="1558" customWidth="1"/>
    <col min="40" max="44" width="10" style="1565" customWidth="1"/>
    <col min="45" max="45" width="8.42578125" style="1558" hidden="1" customWidth="1"/>
  </cols>
  <sheetData>
    <row r="1" spans="1:45" ht="22.5" hidden="1" customHeight="1">
      <c r="Y1" s="264"/>
      <c r="Z1" s="264"/>
      <c r="AG1" s="264"/>
      <c r="AH1" s="264"/>
      <c r="AS1" s="1078" t="s">
        <v>14</v>
      </c>
    </row>
    <row r="2" spans="1:45" ht="21" hidden="1" customHeight="1">
      <c r="A2" s="1286"/>
      <c r="B2" s="1286"/>
      <c r="C2" s="1286"/>
      <c r="D2" s="1286"/>
      <c r="E2" s="2506">
        <v>1</v>
      </c>
      <c r="F2" s="1286"/>
      <c r="G2" s="1286"/>
      <c r="H2" s="1286"/>
      <c r="I2" s="1286"/>
      <c r="J2" s="1286"/>
      <c r="K2" s="1286"/>
      <c r="L2" s="1287"/>
      <c r="M2" s="1288"/>
      <c r="N2" s="1288"/>
      <c r="O2" s="1288"/>
      <c r="P2" s="297"/>
      <c r="Q2" s="296"/>
      <c r="R2" s="291"/>
      <c r="S2" s="1259" t="e">
        <f>INDEX(PT_DIFFERENTIATION_NUM_NTAR,MATCH(A2,PT_DIFFERENTIATION_NTAR_ID,0))</f>
        <v>#N/A</v>
      </c>
      <c r="T2" s="235" t="s">
        <v>144</v>
      </c>
      <c r="U2" s="237"/>
      <c r="V2" s="2492"/>
      <c r="W2" s="2493"/>
      <c r="X2" s="2493"/>
      <c r="Y2" s="2493"/>
      <c r="Z2" s="2493"/>
      <c r="AA2" s="2493"/>
      <c r="AB2" s="2493"/>
      <c r="AC2" s="2494"/>
      <c r="AD2" s="2492" t="e">
        <f>INDEX(PT_DIFFERENTIATION_NTAR,MATCH(A2,PT_DIFFERENTIATION_NTAR_ID,0))</f>
        <v>#N/A</v>
      </c>
      <c r="AE2" s="2493"/>
      <c r="AF2" s="2493"/>
      <c r="AG2" s="2493"/>
      <c r="AH2" s="2493"/>
      <c r="AI2" s="2493"/>
      <c r="AJ2" s="2493"/>
      <c r="AK2" s="2493"/>
      <c r="AL2" s="2494"/>
      <c r="AM2" s="1181" t="s">
        <v>415</v>
      </c>
      <c r="AO2" s="436"/>
      <c r="AP2" s="436" t="str">
        <f t="shared" ref="AP2:AP15" si="0">IF(T2="","",T2)</f>
        <v>Наименование тарифа</v>
      </c>
      <c r="AQ2" s="436"/>
      <c r="AR2" s="436"/>
      <c r="AS2" s="1078">
        <v>0</v>
      </c>
    </row>
    <row r="3" spans="1:45" ht="21" hidden="1" customHeight="1">
      <c r="A3" s="1286"/>
      <c r="B3" s="1286"/>
      <c r="C3" s="1286"/>
      <c r="D3" s="1286"/>
      <c r="E3" s="2507"/>
      <c r="F3" s="2506">
        <v>1</v>
      </c>
      <c r="G3" s="1286"/>
      <c r="H3" s="1286"/>
      <c r="I3" s="1286"/>
      <c r="J3" s="1286"/>
      <c r="K3" s="1286"/>
      <c r="L3" s="1287"/>
      <c r="M3" s="1288"/>
      <c r="N3" s="1288"/>
      <c r="O3" s="1288"/>
      <c r="P3" s="1255"/>
      <c r="Q3" s="288"/>
      <c r="R3" s="289"/>
      <c r="S3" s="1259" t="e">
        <f>INDEX(PT_DIFFERENTIATION_NUM_TER,MATCH(B3,PT_DIFFERENTIATION_TER_ID,0))</f>
        <v>#N/A</v>
      </c>
      <c r="T3" s="245" t="s">
        <v>416</v>
      </c>
      <c r="U3" s="237"/>
      <c r="V3" s="2492"/>
      <c r="W3" s="2493"/>
      <c r="X3" s="2493"/>
      <c r="Y3" s="2493"/>
      <c r="Z3" s="2493"/>
      <c r="AA3" s="2493"/>
      <c r="AB3" s="2493"/>
      <c r="AC3" s="2494"/>
      <c r="AD3" s="2492" t="e">
        <f>INDEX(PT_DIFFERENTIATION_TER,MATCH(B3,PT_DIFFERENTIATION_TER_ID,0))</f>
        <v>#N/A</v>
      </c>
      <c r="AE3" s="2493"/>
      <c r="AF3" s="2493"/>
      <c r="AG3" s="2493"/>
      <c r="AH3" s="2493"/>
      <c r="AI3" s="2493"/>
      <c r="AJ3" s="2493"/>
      <c r="AK3" s="2493"/>
      <c r="AL3" s="2494"/>
      <c r="AM3" s="1181" t="s">
        <v>417</v>
      </c>
      <c r="AO3" s="436"/>
      <c r="AP3" s="436" t="str">
        <f t="shared" si="0"/>
        <v>Территория действия тарифа</v>
      </c>
      <c r="AQ3" s="436"/>
      <c r="AR3" s="436"/>
      <c r="AS3" s="1078">
        <v>0</v>
      </c>
    </row>
    <row r="4" spans="1:45" ht="23.25" hidden="1" customHeight="1">
      <c r="A4" s="1286"/>
      <c r="B4" s="1286"/>
      <c r="C4" s="1286"/>
      <c r="D4" s="1286"/>
      <c r="E4" s="2507"/>
      <c r="F4" s="2507"/>
      <c r="G4" s="2506">
        <v>1</v>
      </c>
      <c r="H4" s="1286"/>
      <c r="I4" s="1286"/>
      <c r="J4" s="1286"/>
      <c r="K4" s="1286"/>
      <c r="L4" s="1287"/>
      <c r="M4" s="1288"/>
      <c r="N4" s="1288"/>
      <c r="O4" s="1288"/>
      <c r="P4" s="290"/>
      <c r="Q4" s="288"/>
      <c r="R4" s="289"/>
      <c r="S4" s="1259" t="e">
        <f>INDEX(PT_DIFFERENTIATION_NUM_CS,MATCH(C4,PT_DIFFERENTIATION_CS_ID,0))</f>
        <v>#N/A</v>
      </c>
      <c r="T4" s="246" t="s">
        <v>418</v>
      </c>
      <c r="U4" s="237"/>
      <c r="V4" s="2492"/>
      <c r="W4" s="2493"/>
      <c r="X4" s="2493"/>
      <c r="Y4" s="2493"/>
      <c r="Z4" s="2493"/>
      <c r="AA4" s="2493"/>
      <c r="AB4" s="2493"/>
      <c r="AC4" s="2494"/>
      <c r="AD4" s="2492" t="e">
        <f>INDEX(PT_DIFFERENTIATION_CS,MATCH(C4,PT_DIFFERENTIATION_CS_ID,0))</f>
        <v>#N/A</v>
      </c>
      <c r="AE4" s="2493"/>
      <c r="AF4" s="2493"/>
      <c r="AG4" s="2493"/>
      <c r="AH4" s="2493"/>
      <c r="AI4" s="2493"/>
      <c r="AJ4" s="2493"/>
      <c r="AK4" s="2493"/>
      <c r="AL4" s="2494"/>
      <c r="AM4" s="1181" t="s">
        <v>419</v>
      </c>
      <c r="AO4" s="436"/>
      <c r="AP4" s="436" t="str">
        <f t="shared" si="0"/>
        <v xml:space="preserve">Наименование системы теплоснабжения </v>
      </c>
      <c r="AQ4" s="436"/>
      <c r="AR4" s="436"/>
      <c r="AS4" s="1078">
        <v>0</v>
      </c>
    </row>
    <row r="5" spans="1:45" ht="21" hidden="1" customHeight="1">
      <c r="A5" s="1286"/>
      <c r="B5" s="1286"/>
      <c r="C5" s="1286"/>
      <c r="D5" s="1286"/>
      <c r="E5" s="2507"/>
      <c r="F5" s="2507"/>
      <c r="G5" s="2507"/>
      <c r="H5" s="2506">
        <v>1</v>
      </c>
      <c r="I5" s="1286"/>
      <c r="J5" s="1286"/>
      <c r="K5" s="1286"/>
      <c r="L5" s="1287"/>
      <c r="M5" s="1288"/>
      <c r="N5" s="1288"/>
      <c r="O5" s="1288"/>
      <c r="P5" s="290"/>
      <c r="Q5" s="288"/>
      <c r="R5" s="289"/>
      <c r="S5" s="1259" t="e">
        <f>INDEX(PT_DIFFERENTIATION_NUM_IST_TE,MATCH(D5,PT_DIFFERENTIATION_IST_TE_ID,0))</f>
        <v>#N/A</v>
      </c>
      <c r="T5" s="247" t="s">
        <v>420</v>
      </c>
      <c r="U5" s="237"/>
      <c r="V5" s="2492"/>
      <c r="W5" s="2493"/>
      <c r="X5" s="2493"/>
      <c r="Y5" s="2493"/>
      <c r="Z5" s="2493"/>
      <c r="AA5" s="2493"/>
      <c r="AB5" s="2493"/>
      <c r="AC5" s="2494"/>
      <c r="AD5" s="2492" t="e">
        <f>INDEX(PT_DIFFERENTIATION_IST_TE,MATCH(D5,PT_DIFFERENTIATION_IST_TE_ID,0))</f>
        <v>#N/A</v>
      </c>
      <c r="AE5" s="2493"/>
      <c r="AF5" s="2493"/>
      <c r="AG5" s="2493"/>
      <c r="AH5" s="2493"/>
      <c r="AI5" s="2493"/>
      <c r="AJ5" s="2493"/>
      <c r="AK5" s="2493"/>
      <c r="AL5" s="2494"/>
      <c r="AM5" s="1181" t="s">
        <v>421</v>
      </c>
      <c r="AO5" s="436"/>
      <c r="AP5" s="436" t="str">
        <f t="shared" si="0"/>
        <v xml:space="preserve">Источник тепловой энергии  </v>
      </c>
      <c r="AQ5" s="436"/>
      <c r="AR5" s="436"/>
      <c r="AS5" s="1078">
        <v>0</v>
      </c>
    </row>
    <row r="6" spans="1:45" ht="14.25" hidden="1" customHeight="1">
      <c r="A6" s="1286"/>
      <c r="B6" s="1286"/>
      <c r="C6" s="1286"/>
      <c r="D6" s="1286"/>
      <c r="E6" s="2507"/>
      <c r="F6" s="2507"/>
      <c r="G6" s="2507"/>
      <c r="H6" s="2507"/>
      <c r="I6" s="2504" t="e">
        <f>S5&amp;".1"</f>
        <v>#N/A</v>
      </c>
      <c r="J6" s="1286"/>
      <c r="K6" s="1286"/>
      <c r="L6" s="1287" t="s">
        <v>422</v>
      </c>
      <c r="M6" s="473"/>
      <c r="P6" s="2505">
        <v>1</v>
      </c>
      <c r="Q6" s="1254"/>
      <c r="R6" s="292"/>
      <c r="S6" s="969"/>
      <c r="T6" s="1306"/>
      <c r="U6" s="1307"/>
      <c r="V6" s="2535"/>
      <c r="W6" s="2536"/>
      <c r="X6" s="2536"/>
      <c r="Y6" s="2536"/>
      <c r="Z6" s="2536"/>
      <c r="AA6" s="2536"/>
      <c r="AB6" s="2536"/>
      <c r="AC6" s="2537"/>
      <c r="AD6" s="2535"/>
      <c r="AE6" s="2536"/>
      <c r="AF6" s="2536"/>
      <c r="AG6" s="2536"/>
      <c r="AH6" s="2536"/>
      <c r="AI6" s="2536"/>
      <c r="AJ6" s="2536"/>
      <c r="AK6" s="2536"/>
      <c r="AL6" s="2537"/>
      <c r="AM6" s="1308"/>
      <c r="AO6" s="436"/>
      <c r="AP6" s="436" t="str">
        <f t="shared" si="0"/>
        <v/>
      </c>
      <c r="AQ6" s="436"/>
      <c r="AR6" s="436"/>
      <c r="AS6" s="1078">
        <v>0</v>
      </c>
    </row>
    <row r="7" spans="1:45" ht="21" hidden="1" customHeight="1">
      <c r="A7" s="1286"/>
      <c r="B7" s="1286"/>
      <c r="C7" s="1286"/>
      <c r="D7" s="1286"/>
      <c r="E7" s="2507"/>
      <c r="F7" s="2507"/>
      <c r="G7" s="2507"/>
      <c r="H7" s="2507"/>
      <c r="I7" s="2527"/>
      <c r="J7" s="2504" t="e">
        <f>I6&amp;".1"</f>
        <v>#N/A</v>
      </c>
      <c r="K7" s="1286"/>
      <c r="L7" s="1287" t="s">
        <v>425</v>
      </c>
      <c r="M7" s="473"/>
      <c r="N7" s="1289"/>
      <c r="P7" s="2505"/>
      <c r="Q7" s="2505">
        <v>1</v>
      </c>
      <c r="R7" s="293"/>
      <c r="S7" s="1259" t="e">
        <f>$J7</f>
        <v>#N/A</v>
      </c>
      <c r="T7" s="223" t="s">
        <v>426</v>
      </c>
      <c r="U7" s="237"/>
      <c r="V7" s="2495"/>
      <c r="W7" s="2496"/>
      <c r="X7" s="2496"/>
      <c r="Y7" s="2496"/>
      <c r="Z7" s="2496"/>
      <c r="AA7" s="2496"/>
      <c r="AB7" s="2496"/>
      <c r="AC7" s="2497"/>
      <c r="AD7" s="2495"/>
      <c r="AE7" s="2496"/>
      <c r="AF7" s="2496"/>
      <c r="AG7" s="2496"/>
      <c r="AH7" s="2496"/>
      <c r="AI7" s="2496"/>
      <c r="AJ7" s="2496"/>
      <c r="AK7" s="2496"/>
      <c r="AL7" s="2497"/>
      <c r="AM7" s="1181" t="s">
        <v>427</v>
      </c>
      <c r="AO7" s="436"/>
      <c r="AP7" s="436" t="str">
        <f t="shared" si="0"/>
        <v>Группа потребителей</v>
      </c>
      <c r="AQ7" s="436"/>
      <c r="AR7" s="436"/>
      <c r="AS7" s="1078">
        <v>0</v>
      </c>
    </row>
    <row r="8" spans="1:45" ht="21" hidden="1" customHeight="1">
      <c r="A8" s="1286"/>
      <c r="B8" s="1286"/>
      <c r="C8" s="1286"/>
      <c r="D8" s="1286"/>
      <c r="E8" s="2507"/>
      <c r="F8" s="2507"/>
      <c r="G8" s="2507"/>
      <c r="H8" s="2507"/>
      <c r="I8" s="2527"/>
      <c r="J8" s="2527"/>
      <c r="K8" s="2504" t="e">
        <f>J7&amp;".1"</f>
        <v>#N/A</v>
      </c>
      <c r="L8" s="1287" t="s">
        <v>428</v>
      </c>
      <c r="M8" s="473"/>
      <c r="N8" s="1289"/>
      <c r="O8" s="1289"/>
      <c r="P8" s="2505"/>
      <c r="Q8" s="2505"/>
      <c r="R8" s="293">
        <v>1</v>
      </c>
      <c r="S8" s="1259" t="e">
        <f>$K8</f>
        <v>#N/A</v>
      </c>
      <c r="T8" s="1270"/>
      <c r="U8" s="237"/>
      <c r="V8" s="686"/>
      <c r="W8" s="262"/>
      <c r="X8" s="686"/>
      <c r="Y8" s="1180"/>
      <c r="Z8" s="2509"/>
      <c r="AA8" s="2360" t="s">
        <v>63</v>
      </c>
      <c r="AB8" s="2509"/>
      <c r="AC8" s="2360" t="s">
        <v>63</v>
      </c>
      <c r="AD8" s="686"/>
      <c r="AE8" s="262"/>
      <c r="AF8" s="686"/>
      <c r="AG8" s="1180"/>
      <c r="AH8" s="2509"/>
      <c r="AI8" s="2360" t="s">
        <v>63</v>
      </c>
      <c r="AJ8" s="2509"/>
      <c r="AK8" s="2360" t="s">
        <v>63</v>
      </c>
      <c r="AL8" s="262"/>
      <c r="AM8" s="2501" t="s">
        <v>429</v>
      </c>
      <c r="AN8" s="447" t="e">
        <f ca="1">STRCHECKDATE(V9:AL9)</f>
        <v>#NAME?</v>
      </c>
      <c r="AO8" s="436"/>
      <c r="AP8" s="436" t="str">
        <f t="shared" si="0"/>
        <v/>
      </c>
      <c r="AQ8" s="436"/>
      <c r="AR8" s="436"/>
      <c r="AS8" s="1078">
        <v>0</v>
      </c>
    </row>
    <row r="9" spans="1:45" ht="0.75" hidden="1" customHeight="1">
      <c r="A9" s="1286"/>
      <c r="B9" s="1286"/>
      <c r="C9" s="1286"/>
      <c r="D9" s="1286"/>
      <c r="E9" s="2507"/>
      <c r="F9" s="2507"/>
      <c r="G9" s="2507"/>
      <c r="H9" s="2507"/>
      <c r="I9" s="2527"/>
      <c r="J9" s="2527"/>
      <c r="K9" s="2504"/>
      <c r="L9" s="1287"/>
      <c r="M9" s="473"/>
      <c r="N9" s="1289"/>
      <c r="O9" s="1289"/>
      <c r="P9" s="2505"/>
      <c r="Q9" s="2505"/>
      <c r="R9" s="293"/>
      <c r="S9" s="1265"/>
      <c r="T9" s="237"/>
      <c r="U9" s="237"/>
      <c r="V9" s="262"/>
      <c r="W9" s="262"/>
      <c r="X9" s="262"/>
      <c r="Y9" s="265" t="str">
        <f>Z8&amp;"-"&amp;AB8</f>
        <v>-</v>
      </c>
      <c r="Z9" s="2510"/>
      <c r="AA9" s="2360"/>
      <c r="AB9" s="2510"/>
      <c r="AC9" s="2360"/>
      <c r="AD9" s="262"/>
      <c r="AE9" s="262"/>
      <c r="AF9" s="262"/>
      <c r="AG9" s="265" t="str">
        <f>AH8&amp;"-"&amp;AJ8</f>
        <v>-</v>
      </c>
      <c r="AH9" s="2510"/>
      <c r="AI9" s="2360"/>
      <c r="AJ9" s="2510"/>
      <c r="AK9" s="2360"/>
      <c r="AL9" s="262"/>
      <c r="AM9" s="2502"/>
      <c r="AO9" s="436"/>
      <c r="AP9" s="436" t="str">
        <f t="shared" si="0"/>
        <v/>
      </c>
      <c r="AQ9" s="436"/>
      <c r="AR9" s="436"/>
      <c r="AS9" s="1078">
        <v>0</v>
      </c>
    </row>
    <row r="10" spans="1:45" ht="15" hidden="1" customHeight="1">
      <c r="A10" s="1286"/>
      <c r="B10" s="1286"/>
      <c r="C10" s="1286"/>
      <c r="D10" s="1286"/>
      <c r="E10" s="2507"/>
      <c r="F10" s="2507"/>
      <c r="G10" s="2507"/>
      <c r="H10" s="2507"/>
      <c r="I10" s="2527"/>
      <c r="J10" s="2504"/>
      <c r="K10" s="1286"/>
      <c r="L10" s="1287"/>
      <c r="M10" s="473"/>
      <c r="N10" s="1289"/>
      <c r="P10" s="2505"/>
      <c r="Q10" s="2505"/>
      <c r="R10" s="292"/>
      <c r="S10" s="1201"/>
      <c r="T10" s="224" t="s">
        <v>430</v>
      </c>
      <c r="U10" s="303"/>
      <c r="V10" s="303"/>
      <c r="W10" s="303"/>
      <c r="X10" s="303"/>
      <c r="Y10" s="303"/>
      <c r="Z10" s="303"/>
      <c r="AA10" s="303"/>
      <c r="AB10" s="303"/>
      <c r="AC10" s="303"/>
      <c r="AD10" s="303"/>
      <c r="AE10" s="303"/>
      <c r="AF10" s="303"/>
      <c r="AG10" s="303"/>
      <c r="AH10" s="303"/>
      <c r="AI10" s="303"/>
      <c r="AJ10" s="303"/>
      <c r="AK10" s="303"/>
      <c r="AL10" s="261"/>
      <c r="AM10" s="2503"/>
      <c r="AO10" s="436"/>
      <c r="AP10" s="436" t="str">
        <f t="shared" si="0"/>
        <v>Добавить вид теплоносителя (параметры теплоносителя)</v>
      </c>
      <c r="AQ10" s="436"/>
      <c r="AR10" s="436"/>
      <c r="AS10" s="1078">
        <v>0</v>
      </c>
    </row>
    <row r="11" spans="1:45" ht="15" hidden="1" customHeight="1">
      <c r="A11" s="1286"/>
      <c r="B11" s="1286"/>
      <c r="C11" s="1286"/>
      <c r="D11" s="1286"/>
      <c r="E11" s="2507"/>
      <c r="F11" s="2507"/>
      <c r="G11" s="2507"/>
      <c r="H11" s="2507"/>
      <c r="I11" s="2504"/>
      <c r="J11" s="1286"/>
      <c r="K11" s="1286"/>
      <c r="L11" s="1287"/>
      <c r="M11" s="473"/>
      <c r="P11" s="2505"/>
      <c r="Q11" s="1254"/>
      <c r="R11" s="292"/>
      <c r="S11" s="1201"/>
      <c r="T11" s="301" t="s">
        <v>431</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8">
        <v>0</v>
      </c>
    </row>
    <row r="12" spans="1:45" ht="14.25" hidden="1" customHeight="1">
      <c r="A12" s="1286"/>
      <c r="B12" s="1286"/>
      <c r="C12" s="1286"/>
      <c r="D12" s="1286"/>
      <c r="E12" s="2507"/>
      <c r="F12" s="2507"/>
      <c r="G12" s="2507"/>
      <c r="H12" s="2506"/>
      <c r="I12" s="1286"/>
      <c r="J12" s="1286"/>
      <c r="K12" s="1286"/>
      <c r="L12" s="1287"/>
      <c r="M12" s="1288"/>
      <c r="N12" s="1288"/>
      <c r="O12" s="473"/>
      <c r="P12" s="296"/>
      <c r="Q12" s="311"/>
      <c r="R12" s="291"/>
      <c r="S12" s="1309"/>
      <c r="T12" s="1310"/>
      <c r="U12" s="1311"/>
      <c r="V12" s="1311"/>
      <c r="W12" s="1311"/>
      <c r="X12" s="1311"/>
      <c r="Y12" s="1311"/>
      <c r="Z12" s="1311"/>
      <c r="AA12" s="1311"/>
      <c r="AB12" s="1311"/>
      <c r="AC12" s="1311"/>
      <c r="AD12" s="1311"/>
      <c r="AE12" s="1311"/>
      <c r="AF12" s="1311"/>
      <c r="AG12" s="1311"/>
      <c r="AH12" s="1311"/>
      <c r="AI12" s="1311"/>
      <c r="AJ12" s="1311"/>
      <c r="AK12" s="1311"/>
      <c r="AL12" s="1311"/>
      <c r="AM12" s="1312"/>
      <c r="AO12" s="436"/>
      <c r="AP12" s="436" t="str">
        <f t="shared" si="0"/>
        <v/>
      </c>
      <c r="AQ12" s="436"/>
      <c r="AR12" s="436"/>
      <c r="AS12" s="1078">
        <v>0</v>
      </c>
    </row>
    <row r="13" spans="1:45" s="1565" customFormat="1" ht="0.75" hidden="1" customHeight="1">
      <c r="A13" s="1237"/>
      <c r="B13" s="1237"/>
      <c r="C13" s="1237"/>
      <c r="D13" s="1237"/>
      <c r="E13" s="2507"/>
      <c r="F13" s="2507"/>
      <c r="G13" s="2506"/>
      <c r="H13" s="1237"/>
      <c r="I13" s="1237"/>
      <c r="J13" s="1237"/>
      <c r="K13" s="1237"/>
      <c r="L13" s="1262"/>
      <c r="M13" s="1238"/>
      <c r="N13" s="1238"/>
      <c r="P13" s="1239"/>
      <c r="Q13" s="1240"/>
      <c r="R13" s="1239"/>
      <c r="S13" s="1241"/>
      <c r="T13" s="1242" t="s">
        <v>433</v>
      </c>
      <c r="U13" s="1243"/>
      <c r="V13" s="1243"/>
      <c r="W13" s="1243"/>
      <c r="X13" s="1243"/>
      <c r="Y13" s="1243"/>
      <c r="Z13" s="1243"/>
      <c r="AA13" s="1243"/>
      <c r="AB13" s="1243"/>
      <c r="AC13" s="1243"/>
      <c r="AD13" s="1243"/>
      <c r="AE13" s="1243"/>
      <c r="AF13" s="1243"/>
      <c r="AG13" s="1243"/>
      <c r="AH13" s="1243"/>
      <c r="AI13" s="1243"/>
      <c r="AJ13" s="1243"/>
      <c r="AK13" s="1243"/>
      <c r="AL13" s="1243"/>
      <c r="AM13" s="1243"/>
      <c r="AO13" s="718"/>
      <c r="AP13" s="718" t="str">
        <f t="shared" si="0"/>
        <v>Добавить источник для дифференциации</v>
      </c>
      <c r="AQ13" s="718"/>
      <c r="AR13" s="718"/>
      <c r="AS13" s="454">
        <v>0</v>
      </c>
    </row>
    <row r="14" spans="1:45" s="1565" customFormat="1" ht="0.75" hidden="1" customHeight="1">
      <c r="A14" s="1237"/>
      <c r="B14" s="1237"/>
      <c r="C14" s="1237"/>
      <c r="D14" s="1237"/>
      <c r="E14" s="2507"/>
      <c r="F14" s="2506"/>
      <c r="G14" s="1237"/>
      <c r="H14" s="1237"/>
      <c r="I14" s="1237"/>
      <c r="J14" s="1237"/>
      <c r="K14" s="1237"/>
      <c r="L14" s="1262"/>
      <c r="M14" s="1244"/>
      <c r="N14" s="1244"/>
      <c r="P14" s="1239"/>
      <c r="Q14" s="1240"/>
      <c r="R14" s="1239"/>
      <c r="S14" s="1245"/>
      <c r="T14" s="1246" t="s">
        <v>434</v>
      </c>
      <c r="U14" s="1247"/>
      <c r="V14" s="1247"/>
      <c r="W14" s="1247"/>
      <c r="X14" s="1247"/>
      <c r="Y14" s="1247"/>
      <c r="Z14" s="1247"/>
      <c r="AA14" s="1247"/>
      <c r="AB14" s="1247"/>
      <c r="AC14" s="1247"/>
      <c r="AD14" s="1247"/>
      <c r="AE14" s="1247"/>
      <c r="AF14" s="1247"/>
      <c r="AG14" s="1247"/>
      <c r="AH14" s="1247"/>
      <c r="AI14" s="1247"/>
      <c r="AJ14" s="1247"/>
      <c r="AK14" s="1247"/>
      <c r="AL14" s="1247"/>
      <c r="AM14" s="1247"/>
      <c r="AO14" s="718"/>
      <c r="AP14" s="718" t="str">
        <f t="shared" si="0"/>
        <v>Добавить централизованную систему для дифференциации</v>
      </c>
      <c r="AQ14" s="718"/>
      <c r="AR14" s="718"/>
      <c r="AS14" s="454">
        <v>0</v>
      </c>
    </row>
    <row r="15" spans="1:45" s="1565" customFormat="1" ht="0.75" hidden="1" customHeight="1">
      <c r="A15" s="1237"/>
      <c r="B15" s="1237"/>
      <c r="C15" s="1237"/>
      <c r="D15" s="1237"/>
      <c r="E15" s="2506"/>
      <c r="F15" s="1237"/>
      <c r="G15" s="1237"/>
      <c r="H15" s="1237"/>
      <c r="I15" s="1237"/>
      <c r="J15" s="1237"/>
      <c r="K15" s="1237"/>
      <c r="L15" s="1262"/>
      <c r="M15" s="1244"/>
      <c r="N15" s="1244"/>
      <c r="P15" s="1239"/>
      <c r="Q15" s="1240"/>
      <c r="R15" s="1239"/>
      <c r="S15" s="1245"/>
      <c r="T15" s="1248" t="s">
        <v>435</v>
      </c>
      <c r="U15" s="1247"/>
      <c r="V15" s="1247"/>
      <c r="W15" s="1247"/>
      <c r="X15" s="1247"/>
      <c r="Y15" s="1247"/>
      <c r="Z15" s="1247"/>
      <c r="AA15" s="1247"/>
      <c r="AB15" s="1247"/>
      <c r="AC15" s="1247"/>
      <c r="AD15" s="1247"/>
      <c r="AE15" s="1247"/>
      <c r="AF15" s="1247"/>
      <c r="AG15" s="1247"/>
      <c r="AH15" s="1247"/>
      <c r="AI15" s="1247"/>
      <c r="AJ15" s="1247"/>
      <c r="AK15" s="1247"/>
      <c r="AL15" s="1247"/>
      <c r="AM15" s="1247"/>
      <c r="AO15" s="718"/>
      <c r="AP15" s="718" t="str">
        <f t="shared" si="0"/>
        <v>Добавить территорию для дифференциации</v>
      </c>
      <c r="AQ15" s="718"/>
      <c r="AR15" s="718"/>
      <c r="AS15" s="454">
        <v>0</v>
      </c>
    </row>
    <row r="16" spans="1:45" ht="14.25" hidden="1" customHeight="1">
      <c r="AC16" s="264"/>
      <c r="AK16" s="264"/>
      <c r="AS16" s="1078">
        <v>0</v>
      </c>
    </row>
    <row r="17" spans="1:45" ht="14.25" hidden="1" customHeight="1">
      <c r="AD17" s="1283"/>
      <c r="AE17" s="1283"/>
      <c r="AF17" s="1283"/>
      <c r="AG17" s="1284"/>
      <c r="AH17" s="2511"/>
      <c r="AI17" s="2512" t="s">
        <v>63</v>
      </c>
      <c r="AJ17" s="2511"/>
      <c r="AK17" s="2512" t="s">
        <v>63</v>
      </c>
      <c r="AS17" s="1078">
        <v>0</v>
      </c>
    </row>
    <row r="18" spans="1:45" ht="14.25" hidden="1" customHeight="1">
      <c r="AD18" s="1283"/>
      <c r="AE18" s="1283"/>
      <c r="AF18" s="1283"/>
      <c r="AG18" s="265" t="str">
        <f>AH17&amp;"-"&amp;AJ17</f>
        <v>-</v>
      </c>
      <c r="AH18" s="2512"/>
      <c r="AI18" s="2512"/>
      <c r="AJ18" s="2512"/>
      <c r="AK18" s="2512"/>
      <c r="AS18" s="1078">
        <v>0</v>
      </c>
    </row>
    <row r="19" spans="1:45" ht="14.25" hidden="1" customHeight="1">
      <c r="AK19" s="264"/>
      <c r="AS19" s="1078">
        <v>0</v>
      </c>
    </row>
    <row r="20" spans="1:45" s="1289" customFormat="1" ht="22.5" hidden="1" customHeight="1">
      <c r="L20" s="1252"/>
      <c r="M20" s="1285"/>
      <c r="N20" s="1285"/>
      <c r="O20" s="1290" t="s">
        <v>436</v>
      </c>
      <c r="P20" s="1285"/>
      <c r="Q20" s="1294"/>
      <c r="R20" s="1294"/>
      <c r="S20" s="665"/>
      <c r="Z20" s="1290"/>
      <c r="AB20" s="1290"/>
      <c r="AH20" s="1290"/>
      <c r="AJ20" s="1290"/>
      <c r="AN20" s="447"/>
      <c r="AO20" s="447"/>
      <c r="AP20" s="447"/>
      <c r="AQ20" s="447"/>
      <c r="AR20" s="447"/>
      <c r="AS20" s="1083">
        <v>0</v>
      </c>
    </row>
    <row r="21" spans="1:45" s="1289" customFormat="1" ht="14.25" hidden="1" customHeight="1">
      <c r="L21" s="1252"/>
      <c r="M21" s="1285"/>
      <c r="N21" s="1285"/>
      <c r="O21" s="1285"/>
      <c r="P21" s="1285"/>
      <c r="Q21" s="1294"/>
      <c r="R21" s="1294"/>
      <c r="S21" s="665"/>
      <c r="AN21" s="447"/>
      <c r="AO21" s="447"/>
      <c r="AP21" s="447"/>
      <c r="AQ21" s="447"/>
      <c r="AR21" s="447"/>
      <c r="AS21" s="1083">
        <v>0</v>
      </c>
    </row>
    <row r="22" spans="1:45" s="1289" customFormat="1" ht="14.25" hidden="1" customHeight="1">
      <c r="L22" s="1252"/>
      <c r="M22" s="1285"/>
      <c r="N22" s="1285"/>
      <c r="O22" s="1287" t="s">
        <v>437</v>
      </c>
      <c r="P22" s="1285"/>
      <c r="Q22" s="1294"/>
      <c r="R22" s="1294"/>
      <c r="S22" s="665"/>
      <c r="T22" s="1083" t="s">
        <v>438</v>
      </c>
      <c r="AA22" s="123" t="s">
        <v>439</v>
      </c>
      <c r="AC22" s="123" t="s">
        <v>440</v>
      </c>
      <c r="AD22" s="1083" t="s">
        <v>438</v>
      </c>
      <c r="AI22" s="123" t="s">
        <v>441</v>
      </c>
      <c r="AK22" s="123" t="s">
        <v>440</v>
      </c>
      <c r="AN22" s="447"/>
      <c r="AO22" s="447"/>
      <c r="AP22" s="447"/>
      <c r="AQ22" s="447"/>
      <c r="AR22" s="447"/>
      <c r="AS22" s="1083">
        <v>0</v>
      </c>
    </row>
    <row r="23" spans="1:45" ht="14.25" hidden="1" customHeight="1">
      <c r="O23" s="1287"/>
      <c r="AS23" s="1078">
        <v>0</v>
      </c>
    </row>
    <row r="24" spans="1:45" ht="14.25" hidden="1" customHeight="1">
      <c r="O24" s="1287"/>
      <c r="AS24" s="1078">
        <v>0</v>
      </c>
    </row>
    <row r="25" spans="1:45" ht="14.65" customHeight="1">
      <c r="Q25" s="312"/>
      <c r="R25" s="312"/>
      <c r="S25" s="1198"/>
      <c r="T25" s="299"/>
      <c r="U25" s="299"/>
      <c r="V25" s="445"/>
      <c r="W25" s="445"/>
      <c r="X25" s="445"/>
      <c r="Y25" s="445"/>
      <c r="Z25" s="445"/>
      <c r="AA25" s="445"/>
      <c r="AB25" s="445"/>
      <c r="AC25" s="445"/>
      <c r="AD25" s="445"/>
      <c r="AE25" s="445"/>
      <c r="AF25" s="445"/>
      <c r="AG25" s="445"/>
      <c r="AH25" s="445"/>
      <c r="AI25" s="445"/>
      <c r="AJ25" s="445"/>
      <c r="AK25" s="445"/>
      <c r="AS25" s="1078">
        <v>14</v>
      </c>
    </row>
    <row r="26" spans="1:45" ht="63" customHeight="1">
      <c r="Q26" s="312"/>
      <c r="R26" s="312"/>
      <c r="S26" s="249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90"/>
      <c r="U26" s="2490"/>
      <c r="V26" s="2490"/>
      <c r="W26" s="2490"/>
      <c r="X26" s="2490"/>
      <c r="Y26" s="2490"/>
      <c r="Z26" s="2490"/>
      <c r="AA26" s="2490"/>
      <c r="AB26" s="2490"/>
      <c r="AC26" s="2490"/>
      <c r="AD26" s="2490"/>
      <c r="AE26" s="2490"/>
      <c r="AF26" s="2490"/>
      <c r="AG26" s="2490"/>
      <c r="AH26" s="2490"/>
      <c r="AI26" s="2490"/>
      <c r="AJ26" s="2490"/>
      <c r="AK26" s="1166"/>
      <c r="AS26" s="1078">
        <v>60</v>
      </c>
    </row>
    <row r="27" spans="1:45" ht="14.65" customHeight="1">
      <c r="Q27" s="312"/>
      <c r="R27" s="312"/>
      <c r="S27" s="2436" t="str">
        <f>IF(org=0,"Не определено",org)</f>
        <v>ПАО "ТГК-2"</v>
      </c>
      <c r="T27" s="2436"/>
      <c r="U27" s="2436"/>
      <c r="V27" s="2436"/>
      <c r="W27" s="2436"/>
      <c r="X27" s="2436"/>
      <c r="Y27" s="2436"/>
      <c r="Z27" s="2436"/>
      <c r="AA27" s="2436"/>
      <c r="AB27" s="2436"/>
      <c r="AC27" s="2436"/>
      <c r="AD27" s="2436"/>
      <c r="AE27" s="2436"/>
      <c r="AF27" s="2436"/>
      <c r="AG27" s="2436"/>
      <c r="AH27" s="2436"/>
      <c r="AI27" s="2436"/>
      <c r="AJ27" s="2436"/>
      <c r="AK27" s="1166"/>
      <c r="AS27" s="1078">
        <v>14</v>
      </c>
    </row>
    <row r="28" spans="1:45" ht="14.25" hidden="1" customHeight="1">
      <c r="Q28" s="312"/>
      <c r="R28" s="312"/>
      <c r="S28" s="1198"/>
      <c r="T28" s="299"/>
      <c r="U28" s="299"/>
      <c r="V28" s="259"/>
      <c r="W28" s="259"/>
      <c r="X28" s="259"/>
      <c r="Y28" s="259"/>
      <c r="Z28" s="259"/>
      <c r="AA28" s="259"/>
      <c r="AB28" s="259"/>
      <c r="AC28" s="259"/>
      <c r="AD28" s="259"/>
      <c r="AE28" s="259"/>
      <c r="AF28" s="259"/>
      <c r="AG28" s="259"/>
      <c r="AH28" s="259"/>
      <c r="AI28" s="259"/>
      <c r="AJ28" s="259"/>
      <c r="AK28" s="259"/>
      <c r="AL28" s="445"/>
      <c r="AS28" s="1078">
        <v>0</v>
      </c>
    </row>
    <row r="29" spans="1:45" s="1770" customFormat="1" ht="25.5" hidden="1" customHeight="1">
      <c r="A29" s="1291"/>
      <c r="B29" s="1291"/>
      <c r="C29" s="1291"/>
      <c r="D29" s="1291"/>
      <c r="E29" s="1291"/>
      <c r="F29" s="1291"/>
      <c r="G29" s="1291"/>
      <c r="H29" s="1291"/>
      <c r="I29" s="1291"/>
      <c r="J29" s="1291"/>
      <c r="K29" s="1291"/>
      <c r="L29" s="1292"/>
      <c r="M29" s="1291"/>
      <c r="N29" s="1291"/>
      <c r="O29" s="1291"/>
      <c r="S29" s="249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498"/>
      <c r="U29" s="1295"/>
      <c r="V29" s="2499" t="str">
        <f>IF(TITLE_NAME_OR_PR_CHANGE="",IF(TITLE_NAME_OR_PR="","",TITLE_NAME_OR_PR),TITLE_NAME_OR_PR_CHANGE)</f>
        <v/>
      </c>
      <c r="W29" s="2499"/>
      <c r="X29" s="2499"/>
      <c r="Y29" s="2499"/>
      <c r="Z29" s="2499"/>
      <c r="AA29" s="2499"/>
      <c r="AB29" s="2499"/>
      <c r="AC29" s="263"/>
      <c r="AD29" s="2499" t="str">
        <f>IF(TITLE_NAME_OR_PR_CHANGE="",IF(TITLE_NAME_OR_PR="","",TITLE_NAME_OR_PR),TITLE_NAME_OR_PR_CHANGE)</f>
        <v/>
      </c>
      <c r="AE29" s="2499"/>
      <c r="AF29" s="2499"/>
      <c r="AG29" s="2499"/>
      <c r="AH29" s="2499"/>
      <c r="AI29" s="2499"/>
      <c r="AJ29" s="2499"/>
      <c r="AK29" s="263"/>
      <c r="AL29" s="263"/>
      <c r="AM29" s="217"/>
      <c r="AN29" s="304"/>
      <c r="AO29" s="304"/>
      <c r="AP29" s="304"/>
      <c r="AQ29" s="304"/>
      <c r="AR29" s="304"/>
      <c r="AS29" s="354">
        <v>0</v>
      </c>
    </row>
    <row r="30" spans="1:45" s="1770" customFormat="1" ht="18.75" hidden="1" customHeight="1">
      <c r="A30" s="1291"/>
      <c r="B30" s="1291"/>
      <c r="C30" s="1291"/>
      <c r="D30" s="1291"/>
      <c r="E30" s="1291"/>
      <c r="F30" s="1291"/>
      <c r="G30" s="1291"/>
      <c r="H30" s="1291"/>
      <c r="I30" s="1291"/>
      <c r="J30" s="1291"/>
      <c r="K30" s="1291"/>
      <c r="L30" s="1292"/>
      <c r="M30" s="1291"/>
      <c r="N30" s="1291"/>
      <c r="O30" s="1291"/>
      <c r="S30" s="2498" t="str">
        <f>"Дата документа об "&amp;IF(TITLE_DATE_PR_CHANGE="","утверждении","изменении")&amp;" тарифов"</f>
        <v>Дата документа об утверждении тарифов</v>
      </c>
      <c r="T30" s="2498"/>
      <c r="U30" s="1295"/>
      <c r="V30" s="2508" t="str">
        <f>IF(TITLE_DATE_PR_CHANGE="",IF(TITLE_DATE_PR="","",TITLE_DATE_PR),TITLE_DATE_PR_CHANGE)</f>
        <v/>
      </c>
      <c r="W30" s="2508"/>
      <c r="X30" s="2508"/>
      <c r="Y30" s="2508"/>
      <c r="Z30" s="2508"/>
      <c r="AA30" s="2508"/>
      <c r="AB30" s="2508"/>
      <c r="AC30" s="263"/>
      <c r="AD30" s="2508" t="str">
        <f>IF(TITLE_DATE_PR_CHANGE="",IF(TITLE_DATE_PR="","",TITLE_DATE_PR),TITLE_DATE_PR_CHANGE)</f>
        <v/>
      </c>
      <c r="AE30" s="2508"/>
      <c r="AF30" s="2508"/>
      <c r="AG30" s="2508"/>
      <c r="AH30" s="2508"/>
      <c r="AI30" s="2508"/>
      <c r="AJ30" s="2508"/>
      <c r="AK30" s="263"/>
      <c r="AL30" s="263"/>
      <c r="AM30" s="217"/>
      <c r="AN30" s="304"/>
      <c r="AO30" s="304"/>
      <c r="AP30" s="304"/>
      <c r="AQ30" s="304"/>
      <c r="AR30" s="304"/>
      <c r="AS30" s="354">
        <v>0</v>
      </c>
    </row>
    <row r="31" spans="1:45" s="1770" customFormat="1" ht="18.75" hidden="1" customHeight="1">
      <c r="A31" s="1291"/>
      <c r="B31" s="1291"/>
      <c r="C31" s="1291"/>
      <c r="D31" s="1291"/>
      <c r="E31" s="1291"/>
      <c r="F31" s="1291"/>
      <c r="G31" s="1291"/>
      <c r="H31" s="1291"/>
      <c r="I31" s="1291"/>
      <c r="J31" s="1291"/>
      <c r="K31" s="1291"/>
      <c r="L31" s="1292"/>
      <c r="M31" s="1291"/>
      <c r="N31" s="1291"/>
      <c r="O31" s="1291"/>
      <c r="S31" s="2498" t="str">
        <f>"Номер документа об "&amp;IF(TITLE_DATE_PR_CHANGE="","утверждении","изменении")&amp;" тарифов"</f>
        <v>Номер документа об утверждении тарифов</v>
      </c>
      <c r="T31" s="2498"/>
      <c r="U31" s="1295"/>
      <c r="V31" s="2499" t="str">
        <f>IF(TITLE_NUMBER_PR_CHANGE="",IF(TITLE_NUMBER_PR="","",TITLE_NUMBER_PR),TITLE_NUMBER_PR_CHANGE)</f>
        <v/>
      </c>
      <c r="W31" s="2499"/>
      <c r="X31" s="2499"/>
      <c r="Y31" s="2499"/>
      <c r="Z31" s="2499"/>
      <c r="AA31" s="2499"/>
      <c r="AB31" s="2499"/>
      <c r="AC31" s="263"/>
      <c r="AD31" s="2499" t="str">
        <f>IF(TITLE_NUMBER_PR_CHANGE="",IF(TITLE_NUMBER_PR="","",TITLE_NUMBER_PR),TITLE_NUMBER_PR_CHANGE)</f>
        <v/>
      </c>
      <c r="AE31" s="2499"/>
      <c r="AF31" s="2499"/>
      <c r="AG31" s="2499"/>
      <c r="AH31" s="2499"/>
      <c r="AI31" s="2499"/>
      <c r="AJ31" s="2499"/>
      <c r="AK31" s="263"/>
      <c r="AL31" s="263"/>
      <c r="AM31" s="217"/>
      <c r="AN31" s="304"/>
      <c r="AO31" s="304"/>
      <c r="AP31" s="304"/>
      <c r="AQ31" s="304"/>
      <c r="AR31" s="304"/>
      <c r="AS31" s="354">
        <v>0</v>
      </c>
    </row>
    <row r="32" spans="1:45" s="1770" customFormat="1" ht="18.75" hidden="1" customHeight="1">
      <c r="A32" s="1291"/>
      <c r="B32" s="1291"/>
      <c r="C32" s="1291"/>
      <c r="D32" s="1291"/>
      <c r="E32" s="1291"/>
      <c r="F32" s="1291"/>
      <c r="G32" s="1291"/>
      <c r="H32" s="1291"/>
      <c r="I32" s="1291"/>
      <c r="J32" s="1291"/>
      <c r="K32" s="1291"/>
      <c r="L32" s="1292"/>
      <c r="M32" s="1291"/>
      <c r="N32" s="1291"/>
      <c r="O32" s="1291"/>
      <c r="S32" s="2498" t="s">
        <v>43</v>
      </c>
      <c r="T32" s="2498"/>
      <c r="U32" s="1295"/>
      <c r="V32" s="2499" t="str">
        <f>IF(TITLE_IST_PUB_CHANGE="",IF(TITLE_IST_PUB="","",TITLE_IST_PUB),TITLE_IST_PUB_CHANGE)</f>
        <v/>
      </c>
      <c r="W32" s="2499"/>
      <c r="X32" s="2499"/>
      <c r="Y32" s="2499"/>
      <c r="Z32" s="2499"/>
      <c r="AA32" s="2499"/>
      <c r="AB32" s="2499"/>
      <c r="AC32" s="263"/>
      <c r="AD32" s="2499" t="str">
        <f>IF(TITLE_IST_PUB_CHANGE="",IF(TITLE_IST_PUB="","",TITLE_IST_PUB),TITLE_IST_PUB_CHANGE)</f>
        <v/>
      </c>
      <c r="AE32" s="2499"/>
      <c r="AF32" s="2499"/>
      <c r="AG32" s="2499"/>
      <c r="AH32" s="2499"/>
      <c r="AI32" s="2499"/>
      <c r="AJ32" s="2499"/>
      <c r="AK32" s="263"/>
      <c r="AL32" s="263"/>
      <c r="AM32" s="217"/>
      <c r="AN32" s="304"/>
      <c r="AO32" s="304"/>
      <c r="AP32" s="304"/>
      <c r="AQ32" s="304"/>
      <c r="AR32" s="304"/>
      <c r="AS32" s="354">
        <v>0</v>
      </c>
    </row>
    <row r="33" spans="1:45" ht="14.25" hidden="1" customHeight="1">
      <c r="Q33" s="312"/>
      <c r="R33" s="312"/>
      <c r="S33" s="1198"/>
      <c r="T33" s="393"/>
      <c r="U33" s="299"/>
      <c r="V33" s="259"/>
      <c r="W33" s="259"/>
      <c r="X33" s="259"/>
      <c r="Y33" s="259"/>
      <c r="Z33" s="259"/>
      <c r="AA33" s="259"/>
      <c r="AB33" s="259"/>
      <c r="AC33" s="259"/>
      <c r="AD33" s="259"/>
      <c r="AE33" s="259"/>
      <c r="AF33" s="259"/>
      <c r="AG33" s="259"/>
      <c r="AH33" s="259"/>
      <c r="AI33" s="259"/>
      <c r="AJ33" s="259"/>
      <c r="AK33" s="259"/>
      <c r="AL33" s="445"/>
      <c r="AS33" s="1078">
        <v>0</v>
      </c>
    </row>
    <row r="34" spans="1:45" s="1770" customFormat="1" ht="18.75" hidden="1" customHeight="1">
      <c r="A34" s="1291"/>
      <c r="B34" s="1291"/>
      <c r="C34" s="1291"/>
      <c r="D34" s="1291"/>
      <c r="E34" s="1291"/>
      <c r="F34" s="1291"/>
      <c r="G34" s="1291"/>
      <c r="H34" s="1291"/>
      <c r="I34" s="1291"/>
      <c r="J34" s="1291"/>
      <c r="K34" s="1291"/>
      <c r="L34" s="1292"/>
      <c r="M34" s="1291"/>
      <c r="N34" s="1291"/>
      <c r="O34" s="1291"/>
      <c r="S34" s="2498" t="str">
        <f>"Дата подачи заявления об "&amp;IF(TITLE_DATE_PR_CHANGE="","утверждении","изменении")&amp;" тарифов"</f>
        <v>Дата подачи заявления об утверждении тарифов</v>
      </c>
      <c r="T34" s="2498"/>
      <c r="U34" s="1295"/>
      <c r="V34" s="2508" t="str">
        <f>IF(TITLE_DATE_PR_CHANGE="",IF(TITLE_DATE_PR="","",TITLE_DATE_PR),TITLE_DATE_PR_CHANGE)</f>
        <v/>
      </c>
      <c r="W34" s="2508"/>
      <c r="X34" s="2508"/>
      <c r="Y34" s="2508"/>
      <c r="Z34" s="2508"/>
      <c r="AA34" s="2508"/>
      <c r="AB34" s="2508"/>
      <c r="AC34" s="263"/>
      <c r="AD34" s="2508" t="str">
        <f>IF(TITLE_DATE_PR_CHANGE="",IF(TITLE_DATE_PR="","",TITLE_DATE_PR),TITLE_DATE_PR_CHANGE)</f>
        <v/>
      </c>
      <c r="AE34" s="2508"/>
      <c r="AF34" s="2508"/>
      <c r="AG34" s="2508"/>
      <c r="AH34" s="2508"/>
      <c r="AI34" s="2508"/>
      <c r="AJ34" s="2508"/>
      <c r="AK34" s="263"/>
      <c r="AL34" s="263"/>
      <c r="AM34" s="217"/>
      <c r="AN34" s="304"/>
      <c r="AO34" s="304"/>
      <c r="AP34" s="304"/>
      <c r="AQ34" s="304"/>
      <c r="AR34" s="304"/>
      <c r="AS34" s="354">
        <v>0</v>
      </c>
    </row>
    <row r="35" spans="1:45" s="1770" customFormat="1" ht="18.75" hidden="1" customHeight="1">
      <c r="A35" s="1291"/>
      <c r="B35" s="1291"/>
      <c r="C35" s="1291"/>
      <c r="D35" s="1291"/>
      <c r="E35" s="1291"/>
      <c r="F35" s="1291"/>
      <c r="G35" s="1291"/>
      <c r="H35" s="1291"/>
      <c r="I35" s="1291"/>
      <c r="J35" s="1291"/>
      <c r="K35" s="1291"/>
      <c r="L35" s="1292"/>
      <c r="M35" s="1291"/>
      <c r="N35" s="1291"/>
      <c r="O35" s="1291"/>
      <c r="S35" s="2498" t="str">
        <f>"Номер подачи заявления об "&amp;IF(TITLE_DATE_PR_CHANGE="","утверждении","изменении")&amp;" тарифов"</f>
        <v>Номер подачи заявления об утверждении тарифов</v>
      </c>
      <c r="T35" s="2498"/>
      <c r="U35" s="1295"/>
      <c r="V35" s="2499" t="str">
        <f>IF(TITLE_NUMBER_PR_CHANGE="",IF(TITLE_NUMBER_PR="","",TITLE_NUMBER_PR),TITLE_NUMBER_PR_CHANGE)</f>
        <v/>
      </c>
      <c r="W35" s="2499"/>
      <c r="X35" s="2499"/>
      <c r="Y35" s="2499"/>
      <c r="Z35" s="2499"/>
      <c r="AA35" s="2499"/>
      <c r="AB35" s="2499"/>
      <c r="AC35" s="263"/>
      <c r="AD35" s="2499" t="str">
        <f>IF(TITLE_NUMBER_PR_CHANGE="",IF(TITLE_NUMBER_PR="","",TITLE_NUMBER_PR),TITLE_NUMBER_PR_CHANGE)</f>
        <v/>
      </c>
      <c r="AE35" s="2499"/>
      <c r="AF35" s="2499"/>
      <c r="AG35" s="2499"/>
      <c r="AH35" s="2499"/>
      <c r="AI35" s="2499"/>
      <c r="AJ35" s="2499"/>
      <c r="AK35" s="263"/>
      <c r="AL35" s="263"/>
      <c r="AM35" s="217"/>
      <c r="AN35" s="304"/>
      <c r="AO35" s="304"/>
      <c r="AP35" s="304"/>
      <c r="AQ35" s="304"/>
      <c r="AR35" s="304"/>
      <c r="AS35" s="354">
        <v>0</v>
      </c>
    </row>
    <row r="36" spans="1:45" s="1770" customFormat="1" ht="0" hidden="1" customHeight="1">
      <c r="A36" s="1291"/>
      <c r="B36" s="1291"/>
      <c r="C36" s="1291"/>
      <c r="D36" s="1291"/>
      <c r="E36" s="1291"/>
      <c r="F36" s="1291"/>
      <c r="G36" s="1291"/>
      <c r="H36" s="1291"/>
      <c r="I36" s="1291"/>
      <c r="J36" s="1291"/>
      <c r="K36" s="1291"/>
      <c r="L36" s="1292"/>
      <c r="M36" s="1291"/>
      <c r="N36" s="1291"/>
      <c r="O36" s="1291"/>
      <c r="S36" s="260"/>
      <c r="T36" s="260"/>
      <c r="U36" s="1263"/>
      <c r="V36" s="263"/>
      <c r="W36" s="263"/>
      <c r="X36" s="263"/>
      <c r="Y36" s="263"/>
      <c r="Z36" s="263"/>
      <c r="AA36" s="263"/>
      <c r="AB36" s="263"/>
      <c r="AC36" s="215" t="s">
        <v>442</v>
      </c>
      <c r="AD36" s="263"/>
      <c r="AE36" s="263"/>
      <c r="AF36" s="263"/>
      <c r="AG36" s="263"/>
      <c r="AH36" s="263"/>
      <c r="AI36" s="263"/>
      <c r="AJ36" s="263"/>
      <c r="AK36" s="215" t="s">
        <v>442</v>
      </c>
      <c r="AN36" s="304"/>
      <c r="AO36" s="304"/>
      <c r="AP36" s="304"/>
      <c r="AQ36" s="304"/>
      <c r="AR36" s="304"/>
      <c r="AS36" s="354">
        <v>0</v>
      </c>
    </row>
    <row r="37" spans="1:45" ht="14.65" customHeight="1">
      <c r="Q37" s="312"/>
      <c r="R37" s="312"/>
      <c r="S37" s="1198"/>
      <c r="T37" s="299"/>
      <c r="U37" s="1167"/>
      <c r="V37" s="2500"/>
      <c r="W37" s="2500"/>
      <c r="X37" s="2500"/>
      <c r="Y37" s="2500"/>
      <c r="Z37" s="2500"/>
      <c r="AA37" s="2500"/>
      <c r="AB37" s="2500"/>
      <c r="AC37" s="2500"/>
      <c r="AD37" s="2500"/>
      <c r="AE37" s="2500"/>
      <c r="AF37" s="2500"/>
      <c r="AG37" s="2500"/>
      <c r="AH37" s="2500"/>
      <c r="AI37" s="2500"/>
      <c r="AJ37" s="2500"/>
      <c r="AK37" s="2500"/>
      <c r="AS37" s="1078">
        <v>14</v>
      </c>
    </row>
    <row r="38" spans="1:45" ht="14.65" customHeight="1">
      <c r="Q38" s="312"/>
      <c r="R38" s="312"/>
      <c r="S38" s="2371" t="s">
        <v>319</v>
      </c>
      <c r="T38" s="2371"/>
      <c r="U38" s="2371"/>
      <c r="V38" s="2371"/>
      <c r="W38" s="2371"/>
      <c r="X38" s="2371"/>
      <c r="Y38" s="2371"/>
      <c r="Z38" s="2371"/>
      <c r="AA38" s="2371"/>
      <c r="AB38" s="2371"/>
      <c r="AC38" s="2371"/>
      <c r="AD38" s="2371"/>
      <c r="AE38" s="2371"/>
      <c r="AF38" s="2371"/>
      <c r="AG38" s="2371"/>
      <c r="AH38" s="2371"/>
      <c r="AI38" s="2371"/>
      <c r="AJ38" s="2371"/>
      <c r="AK38" s="2371"/>
      <c r="AL38" s="2371"/>
      <c r="AM38" s="2371" t="s">
        <v>320</v>
      </c>
      <c r="AS38" s="1078">
        <v>14</v>
      </c>
    </row>
    <row r="39" spans="1:45" ht="14.65" customHeight="1">
      <c r="Q39" s="312"/>
      <c r="R39" s="312"/>
      <c r="S39" s="2514" t="s">
        <v>89</v>
      </c>
      <c r="T39" s="2466" t="s">
        <v>443</v>
      </c>
      <c r="U39" s="238"/>
      <c r="V39" s="2515" t="s">
        <v>444</v>
      </c>
      <c r="W39" s="2516"/>
      <c r="X39" s="2516"/>
      <c r="Y39" s="2516"/>
      <c r="Z39" s="2516"/>
      <c r="AA39" s="2516"/>
      <c r="AB39" s="2517"/>
      <c r="AC39" s="2518" t="s">
        <v>445</v>
      </c>
      <c r="AD39" s="2515" t="s">
        <v>444</v>
      </c>
      <c r="AE39" s="2516"/>
      <c r="AF39" s="2516"/>
      <c r="AG39" s="2516"/>
      <c r="AH39" s="2516"/>
      <c r="AI39" s="2516"/>
      <c r="AJ39" s="2517"/>
      <c r="AK39" s="2518" t="s">
        <v>446</v>
      </c>
      <c r="AL39" s="2521" t="s">
        <v>447</v>
      </c>
      <c r="AM39" s="2371"/>
      <c r="AS39" s="1078">
        <v>14</v>
      </c>
    </row>
    <row r="40" spans="1:45" ht="35.65" customHeight="1">
      <c r="Q40" s="312"/>
      <c r="R40" s="312"/>
      <c r="S40" s="2514"/>
      <c r="T40" s="2466"/>
      <c r="U40" s="958"/>
      <c r="V40" s="2435" t="s">
        <v>465</v>
      </c>
      <c r="W40" s="2524"/>
      <c r="X40" s="2350" t="s">
        <v>450</v>
      </c>
      <c r="Y40" s="2349"/>
      <c r="Z40" s="2350" t="s">
        <v>451</v>
      </c>
      <c r="AA40" s="2356"/>
      <c r="AB40" s="2349"/>
      <c r="AC40" s="2519"/>
      <c r="AD40" s="2435" t="s">
        <v>465</v>
      </c>
      <c r="AE40" s="2524"/>
      <c r="AF40" s="2350" t="s">
        <v>450</v>
      </c>
      <c r="AG40" s="2349"/>
      <c r="AH40" s="2350" t="s">
        <v>451</v>
      </c>
      <c r="AI40" s="2356"/>
      <c r="AJ40" s="2349"/>
      <c r="AK40" s="2519"/>
      <c r="AL40" s="2522"/>
      <c r="AM40" s="2371"/>
      <c r="AS40" s="1078">
        <v>34</v>
      </c>
    </row>
    <row r="41" spans="1:45" ht="35.65" customHeight="1">
      <c r="A41" s="1293"/>
      <c r="B41" s="1293" t="s">
        <v>156</v>
      </c>
      <c r="C41" s="1293" t="s">
        <v>157</v>
      </c>
      <c r="D41" s="1293" t="s">
        <v>158</v>
      </c>
      <c r="E41" s="1287" t="s">
        <v>452</v>
      </c>
      <c r="F41" s="1287" t="s">
        <v>453</v>
      </c>
      <c r="G41" s="1287" t="s">
        <v>454</v>
      </c>
      <c r="H41" s="1287" t="s">
        <v>455</v>
      </c>
      <c r="I41" s="1287" t="s">
        <v>456</v>
      </c>
      <c r="J41" s="1287" t="s">
        <v>457</v>
      </c>
      <c r="K41" s="1287" t="s">
        <v>458</v>
      </c>
      <c r="L41" s="1287" t="s">
        <v>437</v>
      </c>
      <c r="Q41" s="312"/>
      <c r="R41" s="312"/>
      <c r="S41" s="2514"/>
      <c r="T41" s="2466"/>
      <c r="U41" s="239"/>
      <c r="V41" s="2485"/>
      <c r="W41" s="2525"/>
      <c r="X41" s="1145" t="s">
        <v>459</v>
      </c>
      <c r="Y41" s="1145" t="s">
        <v>460</v>
      </c>
      <c r="Z41" s="1261" t="s">
        <v>461</v>
      </c>
      <c r="AA41" s="2474" t="s">
        <v>462</v>
      </c>
      <c r="AB41" s="2476"/>
      <c r="AC41" s="2520"/>
      <c r="AD41" s="2485"/>
      <c r="AE41" s="2525"/>
      <c r="AF41" s="1145" t="s">
        <v>459</v>
      </c>
      <c r="AG41" s="1145" t="s">
        <v>460</v>
      </c>
      <c r="AH41" s="1261" t="s">
        <v>461</v>
      </c>
      <c r="AI41" s="2474" t="s">
        <v>462</v>
      </c>
      <c r="AJ41" s="2476"/>
      <c r="AK41" s="2520"/>
      <c r="AL41" s="2523"/>
      <c r="AM41" s="2371"/>
      <c r="AS41" s="1078">
        <v>34</v>
      </c>
    </row>
    <row r="42" spans="1:45" s="1564" customFormat="1" ht="11.25" hidden="1" customHeight="1">
      <c r="A42" s="1293"/>
      <c r="B42" s="1293"/>
      <c r="C42" s="1293"/>
      <c r="D42" s="1293"/>
      <c r="E42" s="1293"/>
      <c r="F42" s="1293"/>
      <c r="G42" s="1293"/>
      <c r="H42" s="1293"/>
      <c r="I42" s="1293"/>
      <c r="J42" s="1293"/>
      <c r="K42" s="1293"/>
      <c r="L42" s="1287"/>
      <c r="M42" s="1285"/>
      <c r="N42" s="1285"/>
      <c r="O42" s="1285"/>
      <c r="P42" s="1169"/>
      <c r="Q42" s="1170"/>
      <c r="R42" s="1177">
        <v>1</v>
      </c>
      <c r="S42" s="1200" t="s">
        <v>100</v>
      </c>
      <c r="T42" s="1178" t="s">
        <v>103</v>
      </c>
      <c r="U42" s="1168" t="str">
        <f ca="1">OFFSET(U42,0,-1)</f>
        <v>2</v>
      </c>
      <c r="V42" s="1258">
        <f ca="1">OFFSET(V42,0,-1)+1</f>
        <v>3</v>
      </c>
      <c r="W42" s="1258"/>
      <c r="X42" s="1258">
        <f ca="1">OFFSET(X42,0,-1)+1</f>
        <v>1</v>
      </c>
      <c r="Y42" s="1258">
        <f ca="1">OFFSET(Y42,0,-1)+1</f>
        <v>2</v>
      </c>
      <c r="Z42" s="1258">
        <f ca="1">OFFSET(Z42,0,-1)+1</f>
        <v>3</v>
      </c>
      <c r="AA42" s="2513">
        <f ca="1">OFFSET(AA42,0,-1)+1</f>
        <v>4</v>
      </c>
      <c r="AB42" s="2513"/>
      <c r="AC42" s="1258">
        <f ca="1">OFFSET(AC42,0,-2)+1</f>
        <v>5</v>
      </c>
      <c r="AD42" s="1258">
        <f ca="1">OFFSET(AD42,0,-1)+1</f>
        <v>6</v>
      </c>
      <c r="AE42" s="1258"/>
      <c r="AF42" s="1258">
        <f ca="1">OFFSET(AF42,0,-1)+1</f>
        <v>1</v>
      </c>
      <c r="AG42" s="1258">
        <f ca="1">OFFSET(AG42,0,-1)+1</f>
        <v>2</v>
      </c>
      <c r="AH42" s="1258">
        <f ca="1">OFFSET(AH42,0,-1)+1</f>
        <v>3</v>
      </c>
      <c r="AI42" s="2513">
        <f ca="1">OFFSET(AI42,0,-1)+1</f>
        <v>4</v>
      </c>
      <c r="AJ42" s="2513"/>
      <c r="AK42" s="1258">
        <f ca="1">OFFSET(AK42,0,-2)+1</f>
        <v>5</v>
      </c>
      <c r="AL42" s="1168">
        <f ca="1">OFFSET(AL42,0,-1)</f>
        <v>5</v>
      </c>
      <c r="AM42" s="1258">
        <f ca="1">OFFSET(AM42,0,-1)+1</f>
        <v>6</v>
      </c>
      <c r="AN42" s="447"/>
      <c r="AO42" s="447"/>
      <c r="AP42" s="447"/>
      <c r="AQ42" s="447"/>
      <c r="AR42" s="447"/>
      <c r="AS42" s="432">
        <v>0</v>
      </c>
    </row>
    <row r="43" spans="1:45" ht="21.95" customHeight="1">
      <c r="A43" s="1286" t="s">
        <v>189</v>
      </c>
      <c r="B43" s="1286"/>
      <c r="C43" s="1286"/>
      <c r="D43" s="1286"/>
      <c r="E43" s="2506">
        <v>1</v>
      </c>
      <c r="F43" s="1286"/>
      <c r="G43" s="1286"/>
      <c r="H43" s="1286"/>
      <c r="I43" s="1286"/>
      <c r="J43" s="1286"/>
      <c r="K43" s="1286"/>
      <c r="L43" s="1287"/>
      <c r="M43" s="1288"/>
      <c r="N43" s="1288"/>
      <c r="O43" s="1288"/>
      <c r="P43" s="297"/>
      <c r="Q43" s="296"/>
      <c r="R43" s="291"/>
      <c r="S43" s="1259">
        <f>INDEX(PT_DIFFERENTIATION_NUM_NTAR,MATCH(A43,PT_DIFFERENTIATION_NTAR_ID,0))</f>
        <v>0</v>
      </c>
      <c r="T43" s="235" t="s">
        <v>144</v>
      </c>
      <c r="U43" s="237"/>
      <c r="V43" s="2492"/>
      <c r="W43" s="2493"/>
      <c r="X43" s="2493"/>
      <c r="Y43" s="2493"/>
      <c r="Z43" s="2493"/>
      <c r="AA43" s="2493"/>
      <c r="AB43" s="2493"/>
      <c r="AC43" s="2494"/>
      <c r="AD43" s="2492" t="str">
        <f>INDEX(PT_DIFFERENTIATION_NTAR,MATCH(A43,PT_DIFFERENTIATION_NTAR_ID,0))</f>
        <v/>
      </c>
      <c r="AE43" s="2493"/>
      <c r="AF43" s="2493"/>
      <c r="AG43" s="2493"/>
      <c r="AH43" s="2493"/>
      <c r="AI43" s="2493"/>
      <c r="AJ43" s="2493"/>
      <c r="AK43" s="2493"/>
      <c r="AL43" s="2494"/>
      <c r="AM43" s="118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8">
        <v>21</v>
      </c>
    </row>
    <row r="44" spans="1:45" ht="21.95" customHeight="1">
      <c r="A44" s="1286" t="s">
        <v>189</v>
      </c>
      <c r="B44" s="1286" t="s">
        <v>190</v>
      </c>
      <c r="C44" s="1286"/>
      <c r="D44" s="1286"/>
      <c r="E44" s="2507"/>
      <c r="F44" s="2506">
        <v>1</v>
      </c>
      <c r="G44" s="1286"/>
      <c r="H44" s="1286"/>
      <c r="I44" s="1286"/>
      <c r="J44" s="1286"/>
      <c r="K44" s="1286"/>
      <c r="L44" s="1287"/>
      <c r="M44" s="1288"/>
      <c r="N44" s="1288"/>
      <c r="O44" s="1288"/>
      <c r="P44" s="1255"/>
      <c r="Q44" s="288"/>
      <c r="R44" s="289"/>
      <c r="S44" s="1259" t="str">
        <f>INDEX(PT_DIFFERENTIATION_NUM_TER,MATCH(B44,PT_DIFFERENTIATION_TER_ID,0))</f>
        <v>.</v>
      </c>
      <c r="T44" s="245" t="s">
        <v>416</v>
      </c>
      <c r="U44" s="237"/>
      <c r="V44" s="2492"/>
      <c r="W44" s="2493"/>
      <c r="X44" s="2493"/>
      <c r="Y44" s="2493"/>
      <c r="Z44" s="2493"/>
      <c r="AA44" s="2493"/>
      <c r="AB44" s="2493"/>
      <c r="AC44" s="2494"/>
      <c r="AD44" s="2492" t="str">
        <f>INDEX(PT_DIFFERENTIATION_TER,MATCH(B44,PT_DIFFERENTIATION_TER_ID,0))</f>
        <v/>
      </c>
      <c r="AE44" s="2493"/>
      <c r="AF44" s="2493"/>
      <c r="AG44" s="2493"/>
      <c r="AH44" s="2493"/>
      <c r="AI44" s="2493"/>
      <c r="AJ44" s="2493"/>
      <c r="AK44" s="2493"/>
      <c r="AL44" s="2494"/>
      <c r="AM44" s="1181" t="s">
        <v>417</v>
      </c>
      <c r="AO44" s="436"/>
      <c r="AP44" s="436" t="str">
        <f t="shared" si="1"/>
        <v>Территория действия тарифа</v>
      </c>
      <c r="AQ44" s="436"/>
      <c r="AR44" s="436"/>
      <c r="AS44" s="1078">
        <v>21</v>
      </c>
    </row>
    <row r="45" spans="1:45" ht="24" customHeight="1">
      <c r="A45" s="1286" t="s">
        <v>189</v>
      </c>
      <c r="B45" s="1286" t="s">
        <v>190</v>
      </c>
      <c r="C45" s="1286" t="s">
        <v>191</v>
      </c>
      <c r="D45" s="1286"/>
      <c r="E45" s="2507"/>
      <c r="F45" s="2507"/>
      <c r="G45" s="2506">
        <v>1</v>
      </c>
      <c r="H45" s="1286"/>
      <c r="I45" s="1286"/>
      <c r="J45" s="1286"/>
      <c r="K45" s="1286"/>
      <c r="L45" s="1287"/>
      <c r="M45" s="1288"/>
      <c r="N45" s="1288"/>
      <c r="O45" s="1288"/>
      <c r="P45" s="290"/>
      <c r="Q45" s="288"/>
      <c r="R45" s="289"/>
      <c r="S45" s="1259" t="str">
        <f>INDEX(PT_DIFFERENTIATION_NUM_CS,MATCH(C45,PT_DIFFERENTIATION_CS_ID,0))</f>
        <v>..</v>
      </c>
      <c r="T45" s="246" t="s">
        <v>418</v>
      </c>
      <c r="U45" s="237"/>
      <c r="V45" s="2492"/>
      <c r="W45" s="2493"/>
      <c r="X45" s="2493"/>
      <c r="Y45" s="2493"/>
      <c r="Z45" s="2493"/>
      <c r="AA45" s="2493"/>
      <c r="AB45" s="2493"/>
      <c r="AC45" s="2494"/>
      <c r="AD45" s="2492" t="str">
        <f>INDEX(PT_DIFFERENTIATION_CS,MATCH(C45,PT_DIFFERENTIATION_CS_ID,0))</f>
        <v/>
      </c>
      <c r="AE45" s="2493"/>
      <c r="AF45" s="2493"/>
      <c r="AG45" s="2493"/>
      <c r="AH45" s="2493"/>
      <c r="AI45" s="2493"/>
      <c r="AJ45" s="2493"/>
      <c r="AK45" s="2493"/>
      <c r="AL45" s="2494"/>
      <c r="AM45" s="1181" t="s">
        <v>419</v>
      </c>
      <c r="AO45" s="436"/>
      <c r="AP45" s="436" t="str">
        <f t="shared" si="1"/>
        <v xml:space="preserve">Наименование системы теплоснабжения </v>
      </c>
      <c r="AQ45" s="436"/>
      <c r="AR45" s="436"/>
      <c r="AS45" s="1078">
        <v>23</v>
      </c>
    </row>
    <row r="46" spans="1:45" ht="21.95" customHeight="1">
      <c r="A46" s="1286" t="s">
        <v>189</v>
      </c>
      <c r="B46" s="1286" t="s">
        <v>190</v>
      </c>
      <c r="C46" s="1286" t="s">
        <v>191</v>
      </c>
      <c r="D46" s="1286" t="s">
        <v>192</v>
      </c>
      <c r="E46" s="2507"/>
      <c r="F46" s="2507"/>
      <c r="G46" s="2507"/>
      <c r="H46" s="2506">
        <v>1</v>
      </c>
      <c r="I46" s="1286"/>
      <c r="J46" s="1286"/>
      <c r="K46" s="1286"/>
      <c r="L46" s="1287"/>
      <c r="M46" s="1288"/>
      <c r="N46" s="1288"/>
      <c r="O46" s="1288"/>
      <c r="P46" s="290"/>
      <c r="Q46" s="288"/>
      <c r="R46" s="289"/>
      <c r="S46" s="1259" t="str">
        <f>INDEX(PT_DIFFERENTIATION_NUM_IST_TE,MATCH(D46,PT_DIFFERENTIATION_IST_TE_ID,0))</f>
        <v>...</v>
      </c>
      <c r="T46" s="247" t="s">
        <v>420</v>
      </c>
      <c r="U46" s="237"/>
      <c r="V46" s="2492"/>
      <c r="W46" s="2493"/>
      <c r="X46" s="2493"/>
      <c r="Y46" s="2493"/>
      <c r="Z46" s="2493"/>
      <c r="AA46" s="2493"/>
      <c r="AB46" s="2493"/>
      <c r="AC46" s="2494"/>
      <c r="AD46" s="2492" t="str">
        <f>INDEX(PT_DIFFERENTIATION_IST_TE,MATCH(D46,PT_DIFFERENTIATION_IST_TE_ID,0))</f>
        <v/>
      </c>
      <c r="AE46" s="2493"/>
      <c r="AF46" s="2493"/>
      <c r="AG46" s="2493"/>
      <c r="AH46" s="2493"/>
      <c r="AI46" s="2493"/>
      <c r="AJ46" s="2493"/>
      <c r="AK46" s="2493"/>
      <c r="AL46" s="2494"/>
      <c r="AM46" s="1181" t="s">
        <v>421</v>
      </c>
      <c r="AO46" s="436"/>
      <c r="AP46" s="436" t="str">
        <f t="shared" si="1"/>
        <v xml:space="preserve">Источник тепловой энергии  </v>
      </c>
      <c r="AQ46" s="436"/>
      <c r="AR46" s="436"/>
      <c r="AS46" s="1078">
        <v>21</v>
      </c>
    </row>
    <row r="47" spans="1:45" s="1565" customFormat="1" ht="0" hidden="1" customHeight="1">
      <c r="A47" s="1266" t="s">
        <v>189</v>
      </c>
      <c r="B47" s="1266" t="s">
        <v>190</v>
      </c>
      <c r="C47" s="1266" t="s">
        <v>191</v>
      </c>
      <c r="D47" s="1266" t="s">
        <v>192</v>
      </c>
      <c r="E47" s="2507"/>
      <c r="F47" s="2507"/>
      <c r="G47" s="2507"/>
      <c r="H47" s="2507"/>
      <c r="I47" s="2504" t="str">
        <f>S46&amp;".1"</f>
        <v>....1</v>
      </c>
      <c r="J47" s="1266"/>
      <c r="K47" s="1266"/>
      <c r="L47" s="1269" t="s">
        <v>422</v>
      </c>
      <c r="M47" s="446"/>
      <c r="N47" s="446"/>
      <c r="O47" s="446"/>
      <c r="P47" s="2505">
        <v>1</v>
      </c>
      <c r="Q47" s="1254"/>
      <c r="R47" s="292"/>
      <c r="S47" s="969"/>
      <c r="T47" s="1306"/>
      <c r="U47" s="1307"/>
      <c r="V47" s="2535"/>
      <c r="W47" s="2536"/>
      <c r="X47" s="2536"/>
      <c r="Y47" s="2536"/>
      <c r="Z47" s="2536"/>
      <c r="AA47" s="2536"/>
      <c r="AB47" s="2536"/>
      <c r="AC47" s="2537"/>
      <c r="AD47" s="2535"/>
      <c r="AE47" s="2536"/>
      <c r="AF47" s="2536"/>
      <c r="AG47" s="2536"/>
      <c r="AH47" s="2536"/>
      <c r="AI47" s="2536"/>
      <c r="AJ47" s="2536"/>
      <c r="AK47" s="2536"/>
      <c r="AL47" s="2537"/>
      <c r="AM47" s="1308"/>
      <c r="AO47" s="436"/>
      <c r="AP47" s="436" t="str">
        <f t="shared" si="1"/>
        <v/>
      </c>
      <c r="AQ47" s="436"/>
      <c r="AR47" s="436"/>
      <c r="AS47" s="447">
        <v>0</v>
      </c>
    </row>
    <row r="48" spans="1:45" ht="21.95" customHeight="1">
      <c r="A48" s="1286" t="s">
        <v>189</v>
      </c>
      <c r="B48" s="1286" t="s">
        <v>190</v>
      </c>
      <c r="C48" s="1286" t="s">
        <v>191</v>
      </c>
      <c r="D48" s="1286" t="s">
        <v>192</v>
      </c>
      <c r="E48" s="2507"/>
      <c r="F48" s="2507"/>
      <c r="G48" s="2507"/>
      <c r="H48" s="2507"/>
      <c r="I48" s="2527"/>
      <c r="J48" s="2504" t="str">
        <f>S46&amp;".1"</f>
        <v>....1</v>
      </c>
      <c r="K48" s="1286"/>
      <c r="L48" s="1287" t="s">
        <v>425</v>
      </c>
      <c r="P48" s="2505"/>
      <c r="Q48" s="2505">
        <v>1</v>
      </c>
      <c r="R48" s="293"/>
      <c r="S48" s="1259" t="str">
        <f>$J48</f>
        <v>....1</v>
      </c>
      <c r="T48" s="223" t="s">
        <v>426</v>
      </c>
      <c r="U48" s="237"/>
      <c r="V48" s="2495"/>
      <c r="W48" s="2496"/>
      <c r="X48" s="2496"/>
      <c r="Y48" s="2496"/>
      <c r="Z48" s="2496"/>
      <c r="AA48" s="2496"/>
      <c r="AB48" s="2496"/>
      <c r="AC48" s="2497"/>
      <c r="AD48" s="2495"/>
      <c r="AE48" s="2496"/>
      <c r="AF48" s="2496"/>
      <c r="AG48" s="2496"/>
      <c r="AH48" s="2496"/>
      <c r="AI48" s="2496"/>
      <c r="AJ48" s="2496"/>
      <c r="AK48" s="2496"/>
      <c r="AL48" s="2497"/>
      <c r="AM48" s="1181" t="s">
        <v>427</v>
      </c>
      <c r="AO48" s="436"/>
      <c r="AP48" s="436" t="str">
        <f t="shared" si="1"/>
        <v>Группа потребителей</v>
      </c>
      <c r="AQ48" s="436"/>
      <c r="AR48" s="436"/>
      <c r="AS48" s="1078">
        <v>21</v>
      </c>
    </row>
    <row r="49" spans="1:45" ht="21.95" customHeight="1">
      <c r="A49" s="1286" t="s">
        <v>189</v>
      </c>
      <c r="B49" s="1286" t="s">
        <v>190</v>
      </c>
      <c r="C49" s="1286" t="s">
        <v>191</v>
      </c>
      <c r="D49" s="1286" t="s">
        <v>192</v>
      </c>
      <c r="E49" s="2507"/>
      <c r="F49" s="2507"/>
      <c r="G49" s="2507"/>
      <c r="H49" s="2507"/>
      <c r="I49" s="2527"/>
      <c r="J49" s="2527"/>
      <c r="K49" s="2504" t="str">
        <f>J48&amp;".1"</f>
        <v>....1.1</v>
      </c>
      <c r="L49" s="1287" t="s">
        <v>428</v>
      </c>
      <c r="P49" s="2505"/>
      <c r="Q49" s="2505"/>
      <c r="R49" s="293">
        <v>1</v>
      </c>
      <c r="S49" s="1259" t="str">
        <f>$K49</f>
        <v>....1.1</v>
      </c>
      <c r="T49" s="1270"/>
      <c r="U49" s="237"/>
      <c r="V49" s="686"/>
      <c r="W49" s="262"/>
      <c r="X49" s="686"/>
      <c r="Y49" s="1180"/>
      <c r="Z49" s="2509"/>
      <c r="AA49" s="2360" t="s">
        <v>63</v>
      </c>
      <c r="AB49" s="2509"/>
      <c r="AC49" s="2360" t="s">
        <v>63</v>
      </c>
      <c r="AD49" s="686"/>
      <c r="AE49" s="262"/>
      <c r="AF49" s="686"/>
      <c r="AG49" s="1180"/>
      <c r="AH49" s="2509"/>
      <c r="AI49" s="2360" t="s">
        <v>63</v>
      </c>
      <c r="AJ49" s="2528"/>
      <c r="AK49" s="2360" t="s">
        <v>63</v>
      </c>
      <c r="AL49" s="1271"/>
      <c r="AM49" s="2501" t="s">
        <v>466</v>
      </c>
      <c r="AN49" s="447" t="e">
        <f ca="1">STRCHECKDATE(V50:AL50)</f>
        <v>#NAME?</v>
      </c>
      <c r="AO49" s="436"/>
      <c r="AP49" s="436" t="str">
        <f t="shared" si="1"/>
        <v/>
      </c>
      <c r="AQ49" s="436"/>
      <c r="AR49" s="436"/>
      <c r="AS49" s="1078">
        <v>21</v>
      </c>
    </row>
    <row r="50" spans="1:45" ht="1.1499999999999999" customHeight="1">
      <c r="A50" s="1286" t="s">
        <v>189</v>
      </c>
      <c r="B50" s="1286" t="s">
        <v>190</v>
      </c>
      <c r="C50" s="1286" t="s">
        <v>191</v>
      </c>
      <c r="D50" s="1286" t="s">
        <v>192</v>
      </c>
      <c r="E50" s="2507"/>
      <c r="F50" s="2507"/>
      <c r="G50" s="2507"/>
      <c r="H50" s="2507"/>
      <c r="I50" s="2527"/>
      <c r="J50" s="2527"/>
      <c r="K50" s="2504"/>
      <c r="L50" s="1287"/>
      <c r="P50" s="2505"/>
      <c r="Q50" s="2505"/>
      <c r="R50" s="293"/>
      <c r="S50" s="1265"/>
      <c r="T50" s="237"/>
      <c r="U50" s="237"/>
      <c r="V50" s="262"/>
      <c r="W50" s="262"/>
      <c r="X50" s="262"/>
      <c r="Y50" s="265" t="str">
        <f>Z49&amp;"-"&amp;AB49</f>
        <v>-</v>
      </c>
      <c r="Z50" s="2510"/>
      <c r="AA50" s="2360"/>
      <c r="AB50" s="2510"/>
      <c r="AC50" s="2360"/>
      <c r="AD50" s="262"/>
      <c r="AE50" s="262"/>
      <c r="AF50" s="262"/>
      <c r="AG50" s="265" t="str">
        <f>AH49&amp;"-"&amp;AJ49</f>
        <v>-</v>
      </c>
      <c r="AH50" s="2510"/>
      <c r="AI50" s="2360"/>
      <c r="AJ50" s="2529"/>
      <c r="AK50" s="2360"/>
      <c r="AL50" s="1272"/>
      <c r="AM50" s="2502"/>
      <c r="AO50" s="436"/>
      <c r="AP50" s="436" t="str">
        <f t="shared" si="1"/>
        <v/>
      </c>
      <c r="AQ50" s="436"/>
      <c r="AR50" s="436"/>
      <c r="AS50" s="1078">
        <v>1</v>
      </c>
    </row>
    <row r="51" spans="1:45" ht="11.45" customHeight="1">
      <c r="A51" s="1286" t="s">
        <v>189</v>
      </c>
      <c r="B51" s="1286" t="s">
        <v>190</v>
      </c>
      <c r="C51" s="1286" t="s">
        <v>191</v>
      </c>
      <c r="D51" s="1286" t="s">
        <v>192</v>
      </c>
      <c r="E51" s="2507"/>
      <c r="F51" s="2507"/>
      <c r="G51" s="2507"/>
      <c r="H51" s="2507"/>
      <c r="I51" s="2527"/>
      <c r="J51" s="2504"/>
      <c r="K51" s="1286"/>
      <c r="L51" s="1287"/>
      <c r="P51" s="2505"/>
      <c r="Q51" s="2505"/>
      <c r="R51" s="292"/>
      <c r="S51" s="1201"/>
      <c r="T51" s="224" t="s">
        <v>430</v>
      </c>
      <c r="U51" s="303"/>
      <c r="V51" s="303"/>
      <c r="W51" s="303"/>
      <c r="X51" s="303"/>
      <c r="Y51" s="303"/>
      <c r="Z51" s="303"/>
      <c r="AA51" s="303"/>
      <c r="AB51" s="303"/>
      <c r="AC51" s="303"/>
      <c r="AD51" s="303"/>
      <c r="AE51" s="303"/>
      <c r="AF51" s="303"/>
      <c r="AG51" s="303"/>
      <c r="AH51" s="303"/>
      <c r="AI51" s="303"/>
      <c r="AJ51" s="303"/>
      <c r="AK51" s="303"/>
      <c r="AL51" s="261"/>
      <c r="AM51" s="2503"/>
      <c r="AO51" s="436"/>
      <c r="AP51" s="436" t="str">
        <f t="shared" si="1"/>
        <v>Добавить вид теплоносителя (параметры теплоносителя)</v>
      </c>
      <c r="AQ51" s="436"/>
      <c r="AR51" s="436"/>
      <c r="AS51" s="1078">
        <v>11</v>
      </c>
    </row>
    <row r="52" spans="1:45" ht="11.45" customHeight="1">
      <c r="A52" s="1286" t="s">
        <v>189</v>
      </c>
      <c r="B52" s="1286" t="s">
        <v>190</v>
      </c>
      <c r="C52" s="1286" t="s">
        <v>191</v>
      </c>
      <c r="D52" s="1286" t="s">
        <v>192</v>
      </c>
      <c r="E52" s="2507"/>
      <c r="F52" s="2507"/>
      <c r="G52" s="2507"/>
      <c r="H52" s="2507"/>
      <c r="I52" s="2504"/>
      <c r="J52" s="1286"/>
      <c r="K52" s="1286"/>
      <c r="L52" s="1287"/>
      <c r="P52" s="2505"/>
      <c r="Q52" s="1254"/>
      <c r="R52" s="292"/>
      <c r="S52" s="1201"/>
      <c r="T52" s="301" t="s">
        <v>431</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8">
        <v>11</v>
      </c>
    </row>
    <row r="53" spans="1:45" ht="0" hidden="1" customHeight="1">
      <c r="A53" s="1286" t="s">
        <v>189</v>
      </c>
      <c r="B53" s="1286" t="s">
        <v>190</v>
      </c>
      <c r="C53" s="1286" t="s">
        <v>191</v>
      </c>
      <c r="D53" s="1286" t="s">
        <v>192</v>
      </c>
      <c r="E53" s="2507"/>
      <c r="F53" s="2507"/>
      <c r="G53" s="2507"/>
      <c r="H53" s="2506"/>
      <c r="I53" s="1286"/>
      <c r="J53" s="1286"/>
      <c r="K53" s="1286"/>
      <c r="L53" s="1287"/>
      <c r="M53" s="1288"/>
      <c r="N53" s="1288"/>
      <c r="O53" s="473"/>
      <c r="P53" s="296"/>
      <c r="Q53" s="311"/>
      <c r="R53" s="291"/>
      <c r="S53" s="1309"/>
      <c r="T53" s="1310"/>
      <c r="U53" s="1311"/>
      <c r="V53" s="1311"/>
      <c r="W53" s="1311"/>
      <c r="X53" s="1311"/>
      <c r="Y53" s="1311"/>
      <c r="Z53" s="1311"/>
      <c r="AA53" s="1311"/>
      <c r="AB53" s="1311"/>
      <c r="AC53" s="1311"/>
      <c r="AD53" s="1311"/>
      <c r="AE53" s="1311"/>
      <c r="AF53" s="1311"/>
      <c r="AG53" s="1311"/>
      <c r="AH53" s="1311"/>
      <c r="AI53" s="1311"/>
      <c r="AJ53" s="1311"/>
      <c r="AK53" s="1311"/>
      <c r="AL53" s="1311"/>
      <c r="AM53" s="1312"/>
      <c r="AO53" s="436"/>
      <c r="AP53" s="436" t="str">
        <f t="shared" si="1"/>
        <v/>
      </c>
      <c r="AQ53" s="436"/>
      <c r="AR53" s="436"/>
      <c r="AS53" s="1078">
        <v>0</v>
      </c>
    </row>
    <row r="54" spans="1:45" s="1565" customFormat="1" ht="1.1499999999999999" customHeight="1">
      <c r="A54" s="1266" t="s">
        <v>189</v>
      </c>
      <c r="B54" s="1266" t="s">
        <v>190</v>
      </c>
      <c r="C54" s="1266" t="s">
        <v>191</v>
      </c>
      <c r="D54" s="1237"/>
      <c r="E54" s="2507"/>
      <c r="F54" s="2507"/>
      <c r="G54" s="2506"/>
      <c r="H54" s="1237"/>
      <c r="I54" s="1237"/>
      <c r="J54" s="1237"/>
      <c r="K54" s="1237"/>
      <c r="L54" s="1262"/>
      <c r="M54" s="1238"/>
      <c r="N54" s="1238"/>
      <c r="P54" s="1239"/>
      <c r="Q54" s="1240"/>
      <c r="R54" s="1239"/>
      <c r="S54" s="1245"/>
      <c r="T54" s="1248" t="s">
        <v>433</v>
      </c>
      <c r="U54" s="1247"/>
      <c r="V54" s="1247"/>
      <c r="W54" s="1247"/>
      <c r="X54" s="1247"/>
      <c r="Y54" s="1247"/>
      <c r="Z54" s="1247"/>
      <c r="AA54" s="1247"/>
      <c r="AB54" s="1247"/>
      <c r="AC54" s="1247"/>
      <c r="AD54" s="1247"/>
      <c r="AE54" s="1247"/>
      <c r="AF54" s="1247"/>
      <c r="AG54" s="1247"/>
      <c r="AH54" s="1247"/>
      <c r="AI54" s="1247"/>
      <c r="AJ54" s="1247"/>
      <c r="AK54" s="1247"/>
      <c r="AL54" s="1247"/>
      <c r="AM54" s="1247"/>
      <c r="AO54" s="718"/>
      <c r="AP54" s="718" t="str">
        <f t="shared" si="1"/>
        <v>Добавить источник для дифференциации</v>
      </c>
      <c r="AQ54" s="718"/>
      <c r="AR54" s="718"/>
      <c r="AS54" s="454">
        <v>1</v>
      </c>
    </row>
    <row r="55" spans="1:45" s="1565" customFormat="1" ht="1.1499999999999999" customHeight="1">
      <c r="A55" s="1266" t="s">
        <v>189</v>
      </c>
      <c r="B55" s="1266" t="s">
        <v>190</v>
      </c>
      <c r="C55" s="1237"/>
      <c r="D55" s="1237"/>
      <c r="E55" s="2507"/>
      <c r="F55" s="2506"/>
      <c r="G55" s="1237"/>
      <c r="H55" s="1237"/>
      <c r="I55" s="1237"/>
      <c r="J55" s="1237"/>
      <c r="K55" s="1237"/>
      <c r="L55" s="1262"/>
      <c r="M55" s="1244"/>
      <c r="N55" s="1244"/>
      <c r="P55" s="1239"/>
      <c r="Q55" s="1240"/>
      <c r="R55" s="1239"/>
      <c r="S55" s="1245"/>
      <c r="T55" s="1248" t="s">
        <v>434</v>
      </c>
      <c r="U55" s="1247"/>
      <c r="V55" s="1247"/>
      <c r="W55" s="1247"/>
      <c r="X55" s="1247"/>
      <c r="Y55" s="1247"/>
      <c r="Z55" s="1247"/>
      <c r="AA55" s="1247"/>
      <c r="AB55" s="1247"/>
      <c r="AC55" s="1247"/>
      <c r="AD55" s="1247"/>
      <c r="AE55" s="1247"/>
      <c r="AF55" s="1247"/>
      <c r="AG55" s="1247"/>
      <c r="AH55" s="1247"/>
      <c r="AI55" s="1247"/>
      <c r="AJ55" s="1247"/>
      <c r="AK55" s="1247"/>
      <c r="AL55" s="1247"/>
      <c r="AM55" s="1247"/>
      <c r="AO55" s="718"/>
      <c r="AP55" s="718" t="str">
        <f t="shared" si="1"/>
        <v>Добавить централизованную систему для дифференциации</v>
      </c>
      <c r="AQ55" s="718"/>
      <c r="AR55" s="718"/>
      <c r="AS55" s="454">
        <v>1</v>
      </c>
    </row>
    <row r="56" spans="1:45" s="1565" customFormat="1" ht="1.1499999999999999" customHeight="1">
      <c r="A56" s="1266" t="s">
        <v>189</v>
      </c>
      <c r="B56" s="1266"/>
      <c r="C56" s="1266"/>
      <c r="D56" s="1266"/>
      <c r="E56" s="2506"/>
      <c r="F56" s="1266"/>
      <c r="G56" s="1266"/>
      <c r="H56" s="1266"/>
      <c r="I56" s="1266"/>
      <c r="J56" s="1266"/>
      <c r="K56" s="1266"/>
      <c r="L56" s="1269"/>
      <c r="M56" s="1244"/>
      <c r="N56" s="1244"/>
      <c r="O56" s="454"/>
      <c r="P56" s="316"/>
      <c r="Q56" s="1267"/>
      <c r="R56" s="316"/>
      <c r="S56" s="1245"/>
      <c r="T56" s="1248" t="s">
        <v>435</v>
      </c>
      <c r="U56" s="1247"/>
      <c r="V56" s="1247"/>
      <c r="W56" s="1247"/>
      <c r="X56" s="1247"/>
      <c r="Y56" s="1247"/>
      <c r="Z56" s="1247"/>
      <c r="AA56" s="1247"/>
      <c r="AB56" s="1247"/>
      <c r="AC56" s="1247"/>
      <c r="AD56" s="1247"/>
      <c r="AE56" s="1247"/>
      <c r="AF56" s="1247"/>
      <c r="AG56" s="1247"/>
      <c r="AH56" s="1247"/>
      <c r="AI56" s="1247"/>
      <c r="AJ56" s="1247"/>
      <c r="AK56" s="1247"/>
      <c r="AL56" s="1247"/>
      <c r="AM56" s="1247"/>
      <c r="AO56" s="436"/>
      <c r="AP56" s="436" t="str">
        <f t="shared" si="1"/>
        <v>Добавить территорию для дифференциации</v>
      </c>
      <c r="AQ56" s="436"/>
      <c r="AR56" s="436"/>
      <c r="AS56" s="447">
        <v>1</v>
      </c>
    </row>
    <row r="57" spans="1:45" s="1565" customFormat="1" ht="1.1499999999999999" customHeight="1">
      <c r="A57" s="1237"/>
      <c r="B57" s="1237"/>
      <c r="C57" s="1237"/>
      <c r="D57" s="1237"/>
      <c r="E57" s="1266"/>
      <c r="F57" s="1237"/>
      <c r="G57" s="1237"/>
      <c r="H57" s="1237"/>
      <c r="I57" s="1237"/>
      <c r="J57" s="1237"/>
      <c r="K57" s="1237"/>
      <c r="L57" s="1262"/>
      <c r="M57" s="1244"/>
      <c r="N57" s="1244"/>
      <c r="P57" s="1239"/>
      <c r="Q57" s="1240"/>
      <c r="R57" s="1239"/>
      <c r="S57" s="1245"/>
      <c r="T57" s="1248" t="s">
        <v>463</v>
      </c>
      <c r="U57" s="1247"/>
      <c r="V57" s="1247"/>
      <c r="W57" s="1247"/>
      <c r="X57" s="1247"/>
      <c r="Y57" s="1247"/>
      <c r="Z57" s="1247"/>
      <c r="AA57" s="1247"/>
      <c r="AB57" s="1247"/>
      <c r="AC57" s="1247"/>
      <c r="AD57" s="1247"/>
      <c r="AE57" s="1247"/>
      <c r="AF57" s="1247"/>
      <c r="AG57" s="1247"/>
      <c r="AH57" s="1247"/>
      <c r="AI57" s="1247"/>
      <c r="AJ57" s="1247"/>
      <c r="AK57" s="1247"/>
      <c r="AL57" s="1247"/>
      <c r="AM57" s="1247"/>
      <c r="AO57" s="718"/>
      <c r="AP57" s="718" t="str">
        <f t="shared" si="1"/>
        <v>Добавить наименование тарифа</v>
      </c>
      <c r="AQ57" s="718"/>
      <c r="AR57" s="718"/>
      <c r="AS57" s="454">
        <v>1</v>
      </c>
    </row>
    <row r="58" spans="1:45" ht="11.45" customHeight="1">
      <c r="M58" s="1083"/>
      <c r="N58" s="1083"/>
      <c r="O58" s="473"/>
      <c r="P58" s="1078"/>
      <c r="Q58" s="1078"/>
      <c r="R58" s="1078"/>
      <c r="S58" s="1078"/>
      <c r="AN58" s="1078"/>
      <c r="AO58" s="1078"/>
      <c r="AP58" s="1078"/>
      <c r="AQ58" s="1078"/>
      <c r="AR58" s="1078"/>
      <c r="AS58" s="1078">
        <v>11</v>
      </c>
    </row>
    <row r="59" spans="1:45" ht="19.899999999999999" customHeight="1">
      <c r="O59" s="473"/>
      <c r="S59" s="1176"/>
      <c r="T59" s="2526"/>
      <c r="U59" s="2526"/>
      <c r="V59" s="2526"/>
      <c r="W59" s="2526"/>
      <c r="X59" s="2526"/>
      <c r="Y59" s="2526"/>
      <c r="Z59" s="2526"/>
      <c r="AA59" s="2526"/>
      <c r="AB59" s="2526"/>
      <c r="AC59" s="2526"/>
      <c r="AD59" s="2526"/>
      <c r="AE59" s="2526"/>
      <c r="AF59" s="2526"/>
      <c r="AG59" s="2526"/>
      <c r="AH59" s="2526"/>
      <c r="AI59" s="2526"/>
      <c r="AJ59" s="2526"/>
      <c r="AK59" s="2526"/>
      <c r="AL59" s="2526"/>
      <c r="AM59" s="2526"/>
      <c r="AS59" s="1078">
        <v>19</v>
      </c>
    </row>
    <row r="60" spans="1:45" ht="29.25" customHeight="1">
      <c r="O60" s="473"/>
      <c r="T60" s="2526"/>
      <c r="U60" s="2526"/>
      <c r="V60" s="2526"/>
      <c r="W60" s="2526"/>
      <c r="X60" s="2526"/>
      <c r="Y60" s="2526"/>
      <c r="Z60" s="2526"/>
      <c r="AA60" s="2526"/>
      <c r="AB60" s="2526"/>
      <c r="AC60" s="2526"/>
      <c r="AD60" s="2526"/>
      <c r="AE60" s="2526"/>
      <c r="AF60" s="2526"/>
      <c r="AG60" s="2526"/>
      <c r="AH60" s="2526"/>
      <c r="AI60" s="2526"/>
      <c r="AJ60" s="2526"/>
      <c r="AK60" s="2526"/>
      <c r="AL60" s="2526"/>
      <c r="AM60" s="2526"/>
      <c r="AS60" s="1078">
        <v>28</v>
      </c>
    </row>
    <row r="61" spans="1:45" ht="42" customHeight="1">
      <c r="O61" s="473"/>
      <c r="T61" s="2526"/>
      <c r="U61" s="2526"/>
      <c r="V61" s="2526"/>
      <c r="W61" s="2526"/>
      <c r="X61" s="2526"/>
      <c r="Y61" s="2526"/>
      <c r="Z61" s="2526"/>
      <c r="AA61" s="2526"/>
      <c r="AB61" s="2526"/>
      <c r="AC61" s="2526"/>
      <c r="AD61" s="2526"/>
      <c r="AE61" s="2526"/>
      <c r="AF61" s="2526"/>
      <c r="AG61" s="2526"/>
      <c r="AH61" s="2526"/>
      <c r="AI61" s="2526"/>
      <c r="AJ61" s="2526"/>
      <c r="AK61" s="2526"/>
      <c r="AL61" s="2526"/>
      <c r="AM61" s="2526"/>
      <c r="AS61" s="1078">
        <v>40</v>
      </c>
    </row>
    <row r="62" spans="1:45" ht="14.65" customHeight="1">
      <c r="O62" s="473"/>
      <c r="AS62" s="1078">
        <v>14</v>
      </c>
    </row>
    <row r="63" spans="1:45" ht="21" customHeight="1">
      <c r="O63" s="473"/>
      <c r="S63" s="1176"/>
      <c r="T63" s="2434"/>
      <c r="U63" s="2526"/>
      <c r="V63" s="2526"/>
      <c r="W63" s="2526"/>
      <c r="X63" s="2526"/>
      <c r="Y63" s="2526"/>
      <c r="Z63" s="2526"/>
      <c r="AA63" s="2526"/>
      <c r="AB63" s="2526"/>
      <c r="AC63" s="2526"/>
      <c r="AD63" s="2526"/>
      <c r="AE63" s="2526"/>
      <c r="AF63" s="2526"/>
      <c r="AG63" s="2526"/>
      <c r="AH63" s="2526"/>
      <c r="AI63" s="2526"/>
      <c r="AJ63" s="2526"/>
      <c r="AK63" s="2526"/>
      <c r="AL63" s="2526"/>
      <c r="AM63" s="2526"/>
      <c r="AS63" s="1078">
        <v>20</v>
      </c>
    </row>
    <row r="64" spans="1:45" ht="29.25" customHeight="1">
      <c r="O64" s="473"/>
      <c r="T64" s="2526"/>
      <c r="U64" s="2526"/>
      <c r="V64" s="2526"/>
      <c r="W64" s="2526"/>
      <c r="X64" s="2526"/>
      <c r="Y64" s="2526"/>
      <c r="Z64" s="2526"/>
      <c r="AA64" s="2526"/>
      <c r="AB64" s="2526"/>
      <c r="AC64" s="2526"/>
      <c r="AD64" s="2526"/>
      <c r="AE64" s="2526"/>
      <c r="AF64" s="2526"/>
      <c r="AG64" s="2526"/>
      <c r="AH64" s="2526"/>
      <c r="AI64" s="2526"/>
      <c r="AJ64" s="2526"/>
      <c r="AK64" s="2526"/>
      <c r="AL64" s="2526"/>
      <c r="AM64" s="2526"/>
      <c r="AS64" s="1078">
        <v>28</v>
      </c>
    </row>
    <row r="65" spans="1:45" ht="35.65" customHeight="1">
      <c r="T65" s="2526"/>
      <c r="U65" s="2526"/>
      <c r="V65" s="2526"/>
      <c r="W65" s="2526"/>
      <c r="X65" s="2526"/>
      <c r="Y65" s="2526"/>
      <c r="Z65" s="2526"/>
      <c r="AA65" s="2526"/>
      <c r="AB65" s="2526"/>
      <c r="AC65" s="2526"/>
      <c r="AD65" s="2526"/>
      <c r="AE65" s="2526"/>
      <c r="AF65" s="2526"/>
      <c r="AG65" s="2526"/>
      <c r="AH65" s="2526"/>
      <c r="AI65" s="2526"/>
      <c r="AJ65" s="2526"/>
      <c r="AK65" s="2526"/>
      <c r="AL65" s="2526"/>
      <c r="AM65" s="2526"/>
      <c r="AS65" s="1078">
        <v>34</v>
      </c>
    </row>
    <row r="66" spans="1:45" ht="22.5" hidden="1" customHeight="1">
      <c r="A66" s="1083" t="s">
        <v>83</v>
      </c>
      <c r="B66" s="1083">
        <v>0</v>
      </c>
      <c r="C66" s="1083">
        <v>0</v>
      </c>
      <c r="D66" s="1083">
        <v>0</v>
      </c>
      <c r="E66" s="1083">
        <v>0</v>
      </c>
      <c r="F66" s="1083">
        <v>0</v>
      </c>
      <c r="G66" s="1083">
        <v>0</v>
      </c>
      <c r="H66" s="1083">
        <v>0</v>
      </c>
      <c r="I66" s="1083">
        <v>0</v>
      </c>
      <c r="J66" s="1083">
        <v>0</v>
      </c>
      <c r="K66" s="1083">
        <v>0</v>
      </c>
      <c r="L66" s="1252">
        <v>0</v>
      </c>
      <c r="M66" s="1285">
        <v>0</v>
      </c>
      <c r="N66" s="1285">
        <v>0</v>
      </c>
      <c r="O66" s="1285">
        <v>0</v>
      </c>
      <c r="P66" s="1251">
        <v>0</v>
      </c>
      <c r="Q66" s="281">
        <v>3</v>
      </c>
      <c r="R66" s="281">
        <v>3</v>
      </c>
      <c r="S66" s="517">
        <v>12</v>
      </c>
      <c r="T66" s="1078">
        <v>31</v>
      </c>
      <c r="U66" s="1078">
        <v>0</v>
      </c>
      <c r="V66" s="1078">
        <v>0</v>
      </c>
      <c r="W66" s="1078">
        <v>0</v>
      </c>
      <c r="X66" s="1078">
        <v>0</v>
      </c>
      <c r="Y66" s="1078">
        <v>0</v>
      </c>
      <c r="Z66" s="1078">
        <v>0</v>
      </c>
      <c r="AA66" s="1078">
        <v>0</v>
      </c>
      <c r="AB66" s="1078">
        <v>0</v>
      </c>
      <c r="AC66" s="1078">
        <v>0</v>
      </c>
      <c r="AD66" s="1078">
        <v>24</v>
      </c>
      <c r="AE66" s="1078">
        <v>0</v>
      </c>
      <c r="AF66" s="1078">
        <v>24</v>
      </c>
      <c r="AG66" s="1078">
        <v>24</v>
      </c>
      <c r="AH66" s="1078">
        <v>11</v>
      </c>
      <c r="AI66" s="1078">
        <v>3</v>
      </c>
      <c r="AJ66" s="1078">
        <v>11</v>
      </c>
      <c r="AK66" s="1078">
        <v>0</v>
      </c>
      <c r="AL66" s="1078">
        <v>4</v>
      </c>
      <c r="AM66" s="1078">
        <v>115</v>
      </c>
      <c r="AN66" s="447">
        <v>10</v>
      </c>
      <c r="AO66" s="447">
        <v>10</v>
      </c>
      <c r="AP66" s="447">
        <v>10</v>
      </c>
      <c r="AQ66" s="447">
        <v>10</v>
      </c>
      <c r="AR66" s="447">
        <v>10</v>
      </c>
      <c r="AS66" s="1078">
        <v>23</v>
      </c>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2" style="1289" hidden="1" customWidth="1"/>
    <col min="10" max="10" width="9.85546875" style="1289" hidden="1" customWidth="1"/>
    <col min="11" max="11" width="11.42578125" style="1289" hidden="1" customWidth="1"/>
    <col min="12" max="12" width="19.140625" style="2043" hidden="1" customWidth="1"/>
    <col min="13" max="14" width="12.28515625" style="1696" hidden="1" customWidth="1"/>
    <col min="15" max="15" width="23.42578125" style="1696" hidden="1" customWidth="1"/>
    <col min="16" max="16" width="3.7109375" style="2032" hidden="1" customWidth="1"/>
    <col min="17" max="18" width="3" style="281" customWidth="1"/>
    <col min="19" max="19" width="12" style="2033" customWidth="1"/>
    <col min="20" max="20" width="31" style="1558" customWidth="1"/>
    <col min="21" max="21" width="0.140625" style="1558" customWidth="1"/>
    <col min="22" max="22" width="24.7109375" style="1558" hidden="1" customWidth="1"/>
    <col min="23" max="23" width="0.140625" style="1558" hidden="1" customWidth="1"/>
    <col min="24" max="25" width="24.7109375" style="1558" hidden="1" customWidth="1"/>
    <col min="26" max="26" width="11.7109375" style="1558" hidden="1" customWidth="1"/>
    <col min="27" max="27" width="3.7109375" style="1558" hidden="1" customWidth="1"/>
    <col min="28" max="28" width="11.7109375" style="1558" hidden="1" customWidth="1"/>
    <col min="29" max="29" width="8.5703125" style="1558" hidden="1" customWidth="1"/>
    <col min="30" max="30" width="24.7109375" style="1558" customWidth="1"/>
    <col min="31" max="31" width="0.140625" style="1558" customWidth="1"/>
    <col min="32" max="33" width="24" style="1558" customWidth="1"/>
    <col min="34" max="34" width="11" style="1558" customWidth="1"/>
    <col min="35" max="35" width="3.7109375" style="1558" customWidth="1"/>
    <col min="36" max="36" width="11" style="1558" customWidth="1"/>
    <col min="37" max="37" width="8.5703125" style="1558" hidden="1" customWidth="1"/>
    <col min="38" max="38" width="4" style="1558" customWidth="1"/>
    <col min="39" max="39" width="115" style="1558" customWidth="1"/>
    <col min="40" max="44" width="10" style="1565" customWidth="1"/>
    <col min="45" max="45" width="10.5703125" style="1558" hidden="1"/>
  </cols>
  <sheetData>
    <row r="1" spans="1:45" ht="22.5" hidden="1" customHeight="1">
      <c r="A1" s="1788"/>
      <c r="Y1" s="264"/>
      <c r="Z1" s="264"/>
      <c r="AG1" s="264"/>
      <c r="AH1" s="264"/>
      <c r="AS1" s="1078" t="s">
        <v>14</v>
      </c>
    </row>
    <row r="2" spans="1:45" ht="21" hidden="1" customHeight="1">
      <c r="A2" s="1286"/>
      <c r="B2" s="1286"/>
      <c r="C2" s="1286"/>
      <c r="D2" s="1286"/>
      <c r="E2" s="2506">
        <v>1</v>
      </c>
      <c r="F2" s="1286"/>
      <c r="G2" s="1286"/>
      <c r="H2" s="1286"/>
      <c r="I2" s="1286"/>
      <c r="J2" s="1286"/>
      <c r="K2" s="1286"/>
      <c r="L2" s="1287"/>
      <c r="M2" s="1288"/>
      <c r="N2" s="1288"/>
      <c r="O2" s="1288"/>
      <c r="P2" s="297"/>
      <c r="Q2" s="296"/>
      <c r="R2" s="291"/>
      <c r="S2" s="1259" t="e">
        <f>INDEX(PT_DIFFERENTIATION_NUM_NTAR,MATCH(A2,PT_DIFFERENTIATION_NTAR_ID,0))</f>
        <v>#N/A</v>
      </c>
      <c r="T2" s="235" t="s">
        <v>144</v>
      </c>
      <c r="U2" s="237"/>
      <c r="V2" s="2492"/>
      <c r="W2" s="2493"/>
      <c r="X2" s="2493"/>
      <c r="Y2" s="2493"/>
      <c r="Z2" s="2493"/>
      <c r="AA2" s="2493"/>
      <c r="AB2" s="2493"/>
      <c r="AC2" s="2494"/>
      <c r="AD2" s="2492" t="e">
        <f>INDEX(PT_DIFFERENTIATION_NTAR,MATCH(A2,PT_DIFFERENTIATION_NTAR_ID,0))</f>
        <v>#N/A</v>
      </c>
      <c r="AE2" s="2493"/>
      <c r="AF2" s="2493"/>
      <c r="AG2" s="2493"/>
      <c r="AH2" s="2493"/>
      <c r="AI2" s="2493"/>
      <c r="AJ2" s="2493"/>
      <c r="AK2" s="2493"/>
      <c r="AL2" s="2494"/>
      <c r="AM2" s="1181" t="s">
        <v>415</v>
      </c>
      <c r="AO2" s="436"/>
      <c r="AP2" s="436" t="str">
        <f t="shared" ref="AP2:AP15" si="0">IF(T2="","",T2)</f>
        <v>Наименование тарифа</v>
      </c>
      <c r="AQ2" s="436"/>
      <c r="AR2" s="436"/>
      <c r="AS2" s="1078">
        <v>0</v>
      </c>
    </row>
    <row r="3" spans="1:45" ht="21" hidden="1" customHeight="1">
      <c r="A3" s="1286"/>
      <c r="B3" s="1286"/>
      <c r="C3" s="1286"/>
      <c r="D3" s="1286"/>
      <c r="E3" s="2507"/>
      <c r="F3" s="2506">
        <v>1</v>
      </c>
      <c r="G3" s="1286"/>
      <c r="H3" s="1286"/>
      <c r="I3" s="1286"/>
      <c r="J3" s="1286"/>
      <c r="K3" s="1286"/>
      <c r="L3" s="1287"/>
      <c r="M3" s="1288"/>
      <c r="N3" s="1288"/>
      <c r="O3" s="1288"/>
      <c r="P3" s="1255"/>
      <c r="Q3" s="288"/>
      <c r="R3" s="289"/>
      <c r="S3" s="1259" t="e">
        <f>INDEX(PT_DIFFERENTIATION_NUM_TER,MATCH(B3,PT_DIFFERENTIATION_TER_ID,0))</f>
        <v>#N/A</v>
      </c>
      <c r="T3" s="245" t="s">
        <v>416</v>
      </c>
      <c r="U3" s="237"/>
      <c r="V3" s="2492"/>
      <c r="W3" s="2493"/>
      <c r="X3" s="2493"/>
      <c r="Y3" s="2493"/>
      <c r="Z3" s="2493"/>
      <c r="AA3" s="2493"/>
      <c r="AB3" s="2493"/>
      <c r="AC3" s="2494"/>
      <c r="AD3" s="2492" t="e">
        <f>INDEX(PT_DIFFERENTIATION_TER,MATCH(B3,PT_DIFFERENTIATION_TER_ID,0))</f>
        <v>#N/A</v>
      </c>
      <c r="AE3" s="2493"/>
      <c r="AF3" s="2493"/>
      <c r="AG3" s="2493"/>
      <c r="AH3" s="2493"/>
      <c r="AI3" s="2493"/>
      <c r="AJ3" s="2493"/>
      <c r="AK3" s="2493"/>
      <c r="AL3" s="2494"/>
      <c r="AM3" s="1181" t="s">
        <v>417</v>
      </c>
      <c r="AO3" s="436"/>
      <c r="AP3" s="436" t="str">
        <f t="shared" si="0"/>
        <v>Территория действия тарифа</v>
      </c>
      <c r="AQ3" s="436"/>
      <c r="AR3" s="436"/>
      <c r="AS3" s="1078">
        <v>0</v>
      </c>
    </row>
    <row r="4" spans="1:45" ht="23.25" hidden="1" customHeight="1">
      <c r="A4" s="1286"/>
      <c r="B4" s="1286"/>
      <c r="C4" s="1286"/>
      <c r="D4" s="1286"/>
      <c r="E4" s="2507"/>
      <c r="F4" s="2507"/>
      <c r="G4" s="2506">
        <v>1</v>
      </c>
      <c r="H4" s="1286"/>
      <c r="I4" s="1286"/>
      <c r="J4" s="1286"/>
      <c r="K4" s="1286"/>
      <c r="L4" s="1287"/>
      <c r="M4" s="1288"/>
      <c r="N4" s="1288"/>
      <c r="O4" s="1288"/>
      <c r="P4" s="290"/>
      <c r="Q4" s="288"/>
      <c r="R4" s="289"/>
      <c r="S4" s="1922" t="e">
        <f>INDEX(PT_DIFFERENTIATION_NUM_CS,MATCH(C4,PT_DIFFERENTIATION_CS_ID,0))</f>
        <v>#N/A</v>
      </c>
      <c r="T4" s="1926" t="s">
        <v>418</v>
      </c>
      <c r="U4" s="1927"/>
      <c r="V4" s="2538"/>
      <c r="W4" s="2539"/>
      <c r="X4" s="2539"/>
      <c r="Y4" s="2539"/>
      <c r="Z4" s="2539"/>
      <c r="AA4" s="2539"/>
      <c r="AB4" s="2539"/>
      <c r="AC4" s="2540"/>
      <c r="AD4" s="2538" t="e">
        <f>INDEX(PT_DIFFERENTIATION_CS,MATCH(C4,PT_DIFFERENTIATION_CS_ID,0))</f>
        <v>#N/A</v>
      </c>
      <c r="AE4" s="2539"/>
      <c r="AF4" s="2539"/>
      <c r="AG4" s="2539"/>
      <c r="AH4" s="2539"/>
      <c r="AI4" s="2539"/>
      <c r="AJ4" s="2539"/>
      <c r="AK4" s="2539"/>
      <c r="AL4" s="2540"/>
      <c r="AM4" s="1181" t="s">
        <v>419</v>
      </c>
      <c r="AO4" s="436"/>
      <c r="AP4" s="436" t="str">
        <f t="shared" si="0"/>
        <v xml:space="preserve">Наименование системы теплоснабжения </v>
      </c>
      <c r="AQ4" s="436"/>
      <c r="AR4" s="436"/>
      <c r="AS4" s="1078">
        <v>0</v>
      </c>
    </row>
    <row r="5" spans="1:45" ht="21" hidden="1" customHeight="1">
      <c r="A5" s="1286"/>
      <c r="B5" s="1286"/>
      <c r="C5" s="1286"/>
      <c r="D5" s="1286"/>
      <c r="E5" s="2507"/>
      <c r="F5" s="2507"/>
      <c r="G5" s="2507"/>
      <c r="H5" s="2506">
        <v>1</v>
      </c>
      <c r="I5" s="1286"/>
      <c r="J5" s="1286"/>
      <c r="K5" s="1286"/>
      <c r="L5" s="1287"/>
      <c r="M5" s="1288"/>
      <c r="N5" s="1288"/>
      <c r="O5" s="1288"/>
      <c r="P5" s="290"/>
      <c r="Q5" s="288"/>
      <c r="R5" s="1558"/>
      <c r="S5" s="1921" t="e">
        <f>INDEX(PT_DIFFERENTIATION_NUM_IST_TE,MATCH(D5,PT_DIFFERENTIATION_IST_TE_ID,0))</f>
        <v>#N/A</v>
      </c>
      <c r="T5" s="247" t="s">
        <v>420</v>
      </c>
      <c r="U5" s="237"/>
      <c r="V5" s="2541"/>
      <c r="W5" s="2541"/>
      <c r="X5" s="2541"/>
      <c r="Y5" s="2541"/>
      <c r="Z5" s="2541"/>
      <c r="AA5" s="2541"/>
      <c r="AB5" s="2541"/>
      <c r="AC5" s="2541"/>
      <c r="AD5" s="2541" t="e">
        <f>INDEX(PT_DIFFERENTIATION_IST_TE,MATCH(D5,PT_DIFFERENTIATION_IST_TE_ID,0))</f>
        <v>#N/A</v>
      </c>
      <c r="AE5" s="2541"/>
      <c r="AF5" s="2541"/>
      <c r="AG5" s="2541"/>
      <c r="AH5" s="2541"/>
      <c r="AI5" s="2541"/>
      <c r="AJ5" s="2541"/>
      <c r="AK5" s="2541"/>
      <c r="AL5" s="2541"/>
      <c r="AM5" s="1924" t="s">
        <v>421</v>
      </c>
      <c r="AO5" s="436"/>
      <c r="AP5" s="436" t="str">
        <f t="shared" si="0"/>
        <v xml:space="preserve">Источник тепловой энергии  </v>
      </c>
      <c r="AQ5" s="436"/>
      <c r="AR5" s="436"/>
      <c r="AS5" s="1078">
        <v>0</v>
      </c>
    </row>
    <row r="6" spans="1:45" ht="0.75" hidden="1" customHeight="1">
      <c r="A6" s="1286"/>
      <c r="B6" s="1286"/>
      <c r="C6" s="1286"/>
      <c r="D6" s="1286"/>
      <c r="E6" s="2507"/>
      <c r="F6" s="2507"/>
      <c r="G6" s="2507"/>
      <c r="H6" s="2507"/>
      <c r="I6" s="2504" t="e">
        <f>S5&amp;".1"</f>
        <v>#N/A</v>
      </c>
      <c r="J6" s="1286"/>
      <c r="K6" s="1286"/>
      <c r="L6" s="1287" t="s">
        <v>422</v>
      </c>
      <c r="M6" s="473"/>
      <c r="P6" s="2505">
        <v>1</v>
      </c>
      <c r="Q6" s="1254"/>
      <c r="R6" s="1920"/>
      <c r="S6" s="969"/>
      <c r="T6" s="1306"/>
      <c r="U6" s="1307"/>
      <c r="V6" s="2542"/>
      <c r="W6" s="2542"/>
      <c r="X6" s="2542"/>
      <c r="Y6" s="2542"/>
      <c r="Z6" s="2542"/>
      <c r="AA6" s="2542"/>
      <c r="AB6" s="2542"/>
      <c r="AC6" s="2542"/>
      <c r="AD6" s="2542"/>
      <c r="AE6" s="2542"/>
      <c r="AF6" s="2542"/>
      <c r="AG6" s="2542"/>
      <c r="AH6" s="2542"/>
      <c r="AI6" s="2542"/>
      <c r="AJ6" s="2542"/>
      <c r="AK6" s="2542"/>
      <c r="AL6" s="2542"/>
      <c r="AM6" s="1925"/>
      <c r="AO6" s="436"/>
      <c r="AP6" s="436" t="str">
        <f t="shared" si="0"/>
        <v/>
      </c>
      <c r="AQ6" s="436"/>
      <c r="AR6" s="436"/>
      <c r="AS6" s="1078">
        <v>0</v>
      </c>
    </row>
    <row r="7" spans="1:45" ht="84" hidden="1" customHeight="1">
      <c r="A7" s="1286"/>
      <c r="B7" s="1286"/>
      <c r="C7" s="1286"/>
      <c r="D7" s="1286"/>
      <c r="E7" s="2507"/>
      <c r="F7" s="2507"/>
      <c r="G7" s="2507"/>
      <c r="H7" s="2507"/>
      <c r="I7" s="2527"/>
      <c r="J7" s="2504" t="e">
        <f>I6&amp;".1"</f>
        <v>#N/A</v>
      </c>
      <c r="K7" s="1286"/>
      <c r="L7" s="1287" t="s">
        <v>425</v>
      </c>
      <c r="M7" s="473"/>
      <c r="N7" s="1289"/>
      <c r="P7" s="2505"/>
      <c r="Q7" s="2505">
        <v>1</v>
      </c>
      <c r="R7" s="1565"/>
      <c r="S7" s="1921" t="e">
        <f>$J7</f>
        <v>#N/A</v>
      </c>
      <c r="T7" s="223" t="s">
        <v>426</v>
      </c>
      <c r="U7" s="237"/>
      <c r="V7" s="2543"/>
      <c r="W7" s="2543"/>
      <c r="X7" s="2543"/>
      <c r="Y7" s="2543"/>
      <c r="Z7" s="2543"/>
      <c r="AA7" s="2543"/>
      <c r="AB7" s="2543"/>
      <c r="AC7" s="2543"/>
      <c r="AD7" s="2543"/>
      <c r="AE7" s="2543"/>
      <c r="AF7" s="2543"/>
      <c r="AG7" s="2543"/>
      <c r="AH7" s="2543"/>
      <c r="AI7" s="2543"/>
      <c r="AJ7" s="2543"/>
      <c r="AK7" s="2543"/>
      <c r="AL7" s="2543"/>
      <c r="AM7" s="1924" t="s">
        <v>427</v>
      </c>
      <c r="AO7" s="436"/>
      <c r="AP7" s="436" t="str">
        <f t="shared" si="0"/>
        <v>Группа потребителей</v>
      </c>
      <c r="AQ7" s="436"/>
      <c r="AR7" s="436"/>
      <c r="AS7" s="1078">
        <v>0</v>
      </c>
    </row>
    <row r="8" spans="1:45" ht="11.25" hidden="1" customHeight="1">
      <c r="A8" s="1286"/>
      <c r="B8" s="1286"/>
      <c r="C8" s="1286"/>
      <c r="D8" s="1286"/>
      <c r="E8" s="2507"/>
      <c r="F8" s="2507"/>
      <c r="G8" s="2507"/>
      <c r="H8" s="2507"/>
      <c r="I8" s="2527"/>
      <c r="J8" s="2527"/>
      <c r="K8" s="2504" t="e">
        <f>J7&amp;".1"</f>
        <v>#N/A</v>
      </c>
      <c r="L8" s="1287" t="s">
        <v>428</v>
      </c>
      <c r="M8" s="473"/>
      <c r="N8" s="1289"/>
      <c r="O8" s="1289"/>
      <c r="P8" s="2505"/>
      <c r="Q8" s="2505"/>
      <c r="R8" s="293">
        <v>1</v>
      </c>
      <c r="S8" s="1923" t="e">
        <f>$K8</f>
        <v>#N/A</v>
      </c>
      <c r="T8" s="1928"/>
      <c r="U8" s="1929"/>
      <c r="V8" s="1930"/>
      <c r="W8" s="1272"/>
      <c r="X8" s="1930"/>
      <c r="Y8" s="1931"/>
      <c r="Z8" s="2544"/>
      <c r="AA8" s="2375" t="s">
        <v>63</v>
      </c>
      <c r="AB8" s="2544"/>
      <c r="AC8" s="2375" t="s">
        <v>63</v>
      </c>
      <c r="AD8" s="1930"/>
      <c r="AE8" s="1272"/>
      <c r="AF8" s="1930"/>
      <c r="AG8" s="1931"/>
      <c r="AH8" s="2544"/>
      <c r="AI8" s="2375" t="s">
        <v>63</v>
      </c>
      <c r="AJ8" s="2544"/>
      <c r="AK8" s="2375" t="s">
        <v>63</v>
      </c>
      <c r="AL8" s="1272"/>
      <c r="AM8" s="2501" t="s">
        <v>429</v>
      </c>
      <c r="AN8" s="447" t="e">
        <f ca="1">STRCHECKDATE(V9:AL9)</f>
        <v>#NAME?</v>
      </c>
      <c r="AO8" s="436"/>
      <c r="AP8" s="436" t="str">
        <f t="shared" si="0"/>
        <v/>
      </c>
      <c r="AQ8" s="436"/>
      <c r="AR8" s="436"/>
      <c r="AS8" s="1078">
        <v>0</v>
      </c>
    </row>
    <row r="9" spans="1:45" ht="0.75" hidden="1" customHeight="1">
      <c r="A9" s="1286"/>
      <c r="B9" s="1286"/>
      <c r="C9" s="1286"/>
      <c r="D9" s="1286"/>
      <c r="E9" s="2507"/>
      <c r="F9" s="2507"/>
      <c r="G9" s="2507"/>
      <c r="H9" s="2507"/>
      <c r="I9" s="2527"/>
      <c r="J9" s="2527"/>
      <c r="K9" s="2504"/>
      <c r="L9" s="1287"/>
      <c r="M9" s="473"/>
      <c r="N9" s="1289"/>
      <c r="O9" s="1289"/>
      <c r="P9" s="2505"/>
      <c r="Q9" s="2505"/>
      <c r="R9" s="293"/>
      <c r="S9" s="1265"/>
      <c r="T9" s="237"/>
      <c r="U9" s="237"/>
      <c r="V9" s="262"/>
      <c r="W9" s="262"/>
      <c r="X9" s="262"/>
      <c r="Y9" s="265" t="str">
        <f>Z8&amp;"-"&amp;AB8</f>
        <v>-</v>
      </c>
      <c r="Z9" s="2510"/>
      <c r="AA9" s="2360"/>
      <c r="AB9" s="2510"/>
      <c r="AC9" s="2360"/>
      <c r="AD9" s="262"/>
      <c r="AE9" s="262"/>
      <c r="AF9" s="262"/>
      <c r="AG9" s="265" t="str">
        <f>AH8&amp;"-"&amp;AJ8</f>
        <v>-</v>
      </c>
      <c r="AH9" s="2510"/>
      <c r="AI9" s="2360"/>
      <c r="AJ9" s="2510"/>
      <c r="AK9" s="2360"/>
      <c r="AL9" s="262"/>
      <c r="AM9" s="2502"/>
      <c r="AO9" s="436"/>
      <c r="AP9" s="436" t="str">
        <f t="shared" si="0"/>
        <v/>
      </c>
      <c r="AQ9" s="436"/>
      <c r="AR9" s="436"/>
      <c r="AS9" s="1078">
        <v>0</v>
      </c>
    </row>
    <row r="10" spans="1:45" ht="11.25" hidden="1" customHeight="1">
      <c r="A10" s="1286"/>
      <c r="B10" s="1286"/>
      <c r="C10" s="1286"/>
      <c r="D10" s="1286"/>
      <c r="E10" s="2507"/>
      <c r="F10" s="2507"/>
      <c r="G10" s="2507"/>
      <c r="H10" s="2507"/>
      <c r="I10" s="2527"/>
      <c r="J10" s="2504"/>
      <c r="K10" s="1286"/>
      <c r="L10" s="1287"/>
      <c r="M10" s="473"/>
      <c r="N10" s="1289"/>
      <c r="P10" s="2505"/>
      <c r="Q10" s="2505"/>
      <c r="R10" s="292"/>
      <c r="S10" s="1201"/>
      <c r="T10" s="224" t="s">
        <v>430</v>
      </c>
      <c r="U10" s="303"/>
      <c r="V10" s="303"/>
      <c r="W10" s="303"/>
      <c r="X10" s="303"/>
      <c r="Y10" s="303"/>
      <c r="Z10" s="303"/>
      <c r="AA10" s="303"/>
      <c r="AB10" s="303"/>
      <c r="AC10" s="303"/>
      <c r="AD10" s="303"/>
      <c r="AE10" s="303"/>
      <c r="AF10" s="303"/>
      <c r="AG10" s="303"/>
      <c r="AH10" s="303"/>
      <c r="AI10" s="303"/>
      <c r="AJ10" s="303"/>
      <c r="AK10" s="303"/>
      <c r="AL10" s="261"/>
      <c r="AM10" s="2503"/>
      <c r="AO10" s="436"/>
      <c r="AP10" s="436" t="str">
        <f t="shared" si="0"/>
        <v>Добавить вид теплоносителя (параметры теплоносителя)</v>
      </c>
      <c r="AQ10" s="436"/>
      <c r="AR10" s="436"/>
      <c r="AS10" s="1078">
        <v>0</v>
      </c>
    </row>
    <row r="11" spans="1:45" ht="11.25" hidden="1" customHeight="1">
      <c r="A11" s="1286"/>
      <c r="B11" s="1286"/>
      <c r="C11" s="1286"/>
      <c r="D11" s="1286"/>
      <c r="E11" s="2507"/>
      <c r="F11" s="2507"/>
      <c r="G11" s="2507"/>
      <c r="H11" s="2507"/>
      <c r="I11" s="2504"/>
      <c r="J11" s="1286"/>
      <c r="K11" s="1286"/>
      <c r="L11" s="1287"/>
      <c r="M11" s="473"/>
      <c r="P11" s="2505"/>
      <c r="Q11" s="1254"/>
      <c r="R11" s="292"/>
      <c r="S11" s="1201"/>
      <c r="T11" s="301" t="s">
        <v>431</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8">
        <v>0</v>
      </c>
    </row>
    <row r="12" spans="1:45" ht="0.75" hidden="1" customHeight="1">
      <c r="A12" s="1286"/>
      <c r="B12" s="1286"/>
      <c r="C12" s="1286"/>
      <c r="D12" s="1286"/>
      <c r="E12" s="2507"/>
      <c r="F12" s="2507"/>
      <c r="G12" s="2507"/>
      <c r="H12" s="2506"/>
      <c r="I12" s="1286"/>
      <c r="J12" s="1286"/>
      <c r="K12" s="1286"/>
      <c r="L12" s="1287"/>
      <c r="M12" s="1288"/>
      <c r="N12" s="1288"/>
      <c r="O12" s="473"/>
      <c r="P12" s="296"/>
      <c r="Q12" s="311"/>
      <c r="R12" s="291"/>
      <c r="S12" s="1309"/>
      <c r="T12" s="1310"/>
      <c r="U12" s="1311"/>
      <c r="V12" s="1311"/>
      <c r="W12" s="1311"/>
      <c r="X12" s="1311"/>
      <c r="Y12" s="1311"/>
      <c r="Z12" s="1311"/>
      <c r="AA12" s="1311"/>
      <c r="AB12" s="1311"/>
      <c r="AC12" s="1311"/>
      <c r="AD12" s="1311"/>
      <c r="AE12" s="1311"/>
      <c r="AF12" s="1311"/>
      <c r="AG12" s="1311"/>
      <c r="AH12" s="1311"/>
      <c r="AI12" s="1311"/>
      <c r="AJ12" s="1311"/>
      <c r="AK12" s="1311"/>
      <c r="AL12" s="1311"/>
      <c r="AM12" s="1312"/>
      <c r="AO12" s="436"/>
      <c r="AP12" s="436" t="str">
        <f t="shared" si="0"/>
        <v/>
      </c>
      <c r="AQ12" s="436"/>
      <c r="AR12" s="436"/>
      <c r="AS12" s="1078">
        <v>0</v>
      </c>
    </row>
    <row r="13" spans="1:45" s="1565" customFormat="1" ht="0.75" hidden="1" customHeight="1">
      <c r="A13" s="1237"/>
      <c r="B13" s="1237"/>
      <c r="C13" s="1237"/>
      <c r="D13" s="1237"/>
      <c r="E13" s="2507"/>
      <c r="F13" s="2507"/>
      <c r="G13" s="2506"/>
      <c r="H13" s="1237"/>
      <c r="I13" s="1237"/>
      <c r="J13" s="1237"/>
      <c r="K13" s="1237"/>
      <c r="L13" s="1262"/>
      <c r="M13" s="1238"/>
      <c r="N13" s="1238"/>
      <c r="P13" s="1239"/>
      <c r="Q13" s="1240"/>
      <c r="R13" s="1239"/>
      <c r="S13" s="1241"/>
      <c r="T13" s="1242" t="s">
        <v>433</v>
      </c>
      <c r="U13" s="1243"/>
      <c r="V13" s="1243"/>
      <c r="W13" s="1243"/>
      <c r="X13" s="1243"/>
      <c r="Y13" s="1243"/>
      <c r="Z13" s="1243"/>
      <c r="AA13" s="1243"/>
      <c r="AB13" s="1243"/>
      <c r="AC13" s="1243"/>
      <c r="AD13" s="1243"/>
      <c r="AE13" s="1243"/>
      <c r="AF13" s="1243"/>
      <c r="AG13" s="1243"/>
      <c r="AH13" s="1243"/>
      <c r="AI13" s="1243"/>
      <c r="AJ13" s="1243"/>
      <c r="AK13" s="1243"/>
      <c r="AL13" s="1243"/>
      <c r="AM13" s="1243"/>
      <c r="AO13" s="718"/>
      <c r="AP13" s="718" t="str">
        <f t="shared" si="0"/>
        <v>Добавить источник для дифференциации</v>
      </c>
      <c r="AQ13" s="718"/>
      <c r="AR13" s="718"/>
      <c r="AS13" s="454">
        <v>0</v>
      </c>
    </row>
    <row r="14" spans="1:45" s="1565" customFormat="1" ht="0.75" hidden="1" customHeight="1">
      <c r="A14" s="1237"/>
      <c r="B14" s="1237"/>
      <c r="C14" s="1237"/>
      <c r="D14" s="1237"/>
      <c r="E14" s="2507"/>
      <c r="F14" s="2506"/>
      <c r="G14" s="1237"/>
      <c r="H14" s="1237"/>
      <c r="I14" s="1237"/>
      <c r="J14" s="1237"/>
      <c r="K14" s="1237"/>
      <c r="L14" s="1262"/>
      <c r="M14" s="1244"/>
      <c r="N14" s="1244"/>
      <c r="P14" s="1239"/>
      <c r="Q14" s="1240"/>
      <c r="R14" s="1239"/>
      <c r="S14" s="1245"/>
      <c r="T14" s="1246" t="s">
        <v>434</v>
      </c>
      <c r="U14" s="1247"/>
      <c r="V14" s="1247"/>
      <c r="W14" s="1247"/>
      <c r="X14" s="1247"/>
      <c r="Y14" s="1247"/>
      <c r="Z14" s="1247"/>
      <c r="AA14" s="1247"/>
      <c r="AB14" s="1247"/>
      <c r="AC14" s="1247"/>
      <c r="AD14" s="1247"/>
      <c r="AE14" s="1247"/>
      <c r="AF14" s="1247"/>
      <c r="AG14" s="1247"/>
      <c r="AH14" s="1247"/>
      <c r="AI14" s="1247"/>
      <c r="AJ14" s="1247"/>
      <c r="AK14" s="1247"/>
      <c r="AL14" s="1247"/>
      <c r="AM14" s="1247"/>
      <c r="AO14" s="718"/>
      <c r="AP14" s="718" t="str">
        <f t="shared" si="0"/>
        <v>Добавить централизованную систему для дифференциации</v>
      </c>
      <c r="AQ14" s="718"/>
      <c r="AR14" s="718"/>
      <c r="AS14" s="454">
        <v>0</v>
      </c>
    </row>
    <row r="15" spans="1:45" s="1565" customFormat="1" ht="0.75" hidden="1" customHeight="1">
      <c r="A15" s="1237"/>
      <c r="B15" s="1237"/>
      <c r="C15" s="1237"/>
      <c r="D15" s="1237"/>
      <c r="E15" s="2506"/>
      <c r="F15" s="1237"/>
      <c r="G15" s="1237"/>
      <c r="H15" s="1237"/>
      <c r="I15" s="1237"/>
      <c r="J15" s="1237"/>
      <c r="K15" s="1237"/>
      <c r="L15" s="1262"/>
      <c r="M15" s="1244"/>
      <c r="N15" s="1244"/>
      <c r="P15" s="1239"/>
      <c r="Q15" s="1240"/>
      <c r="R15" s="1239"/>
      <c r="S15" s="1245"/>
      <c r="T15" s="1248" t="s">
        <v>435</v>
      </c>
      <c r="U15" s="1247"/>
      <c r="V15" s="1247"/>
      <c r="W15" s="1247"/>
      <c r="X15" s="1247"/>
      <c r="Y15" s="1247"/>
      <c r="Z15" s="1247"/>
      <c r="AA15" s="1247"/>
      <c r="AB15" s="1247"/>
      <c r="AC15" s="1247"/>
      <c r="AD15" s="1247"/>
      <c r="AE15" s="1247"/>
      <c r="AF15" s="1247"/>
      <c r="AG15" s="1247"/>
      <c r="AH15" s="1247"/>
      <c r="AI15" s="1247"/>
      <c r="AJ15" s="1247"/>
      <c r="AK15" s="1247"/>
      <c r="AL15" s="1247"/>
      <c r="AM15" s="1247"/>
      <c r="AO15" s="718"/>
      <c r="AP15" s="718" t="str">
        <f t="shared" si="0"/>
        <v>Добавить территорию для дифференциации</v>
      </c>
      <c r="AQ15" s="718"/>
      <c r="AR15" s="718"/>
      <c r="AS15" s="454">
        <v>0</v>
      </c>
    </row>
    <row r="16" spans="1:45" ht="14.25" hidden="1" customHeight="1">
      <c r="AC16" s="264"/>
      <c r="AK16" s="264"/>
      <c r="AS16" s="1078">
        <v>0</v>
      </c>
    </row>
    <row r="17" spans="1:45" ht="14.25" hidden="1" customHeight="1">
      <c r="AD17" s="1283"/>
      <c r="AE17" s="1283"/>
      <c r="AF17" s="1283"/>
      <c r="AG17" s="1284"/>
      <c r="AH17" s="2511"/>
      <c r="AI17" s="2512" t="s">
        <v>63</v>
      </c>
      <c r="AJ17" s="2511"/>
      <c r="AK17" s="2512" t="s">
        <v>63</v>
      </c>
      <c r="AS17" s="1078">
        <v>0</v>
      </c>
    </row>
    <row r="18" spans="1:45" ht="14.25" hidden="1" customHeight="1">
      <c r="AD18" s="1283"/>
      <c r="AE18" s="1283"/>
      <c r="AF18" s="1283"/>
      <c r="AG18" s="265" t="str">
        <f>AH17&amp;"-"&amp;AJ17</f>
        <v>-</v>
      </c>
      <c r="AH18" s="2512"/>
      <c r="AI18" s="2512"/>
      <c r="AJ18" s="2512"/>
      <c r="AK18" s="2512"/>
      <c r="AS18" s="1078">
        <v>0</v>
      </c>
    </row>
    <row r="19" spans="1:45" ht="14.25" hidden="1" customHeight="1">
      <c r="AK19" s="264"/>
      <c r="AS19" s="1078">
        <v>0</v>
      </c>
    </row>
    <row r="20" spans="1:45" s="1289" customFormat="1" ht="22.5" hidden="1" customHeight="1">
      <c r="L20" s="1252"/>
      <c r="M20" s="1285"/>
      <c r="N20" s="1285"/>
      <c r="O20" s="1290" t="s">
        <v>436</v>
      </c>
      <c r="P20" s="1285"/>
      <c r="Q20" s="1294"/>
      <c r="R20" s="1294"/>
      <c r="S20" s="665"/>
      <c r="Z20" s="1290"/>
      <c r="AB20" s="1290"/>
      <c r="AH20" s="1290"/>
      <c r="AJ20" s="1290"/>
      <c r="AN20" s="447"/>
      <c r="AO20" s="447"/>
      <c r="AP20" s="447"/>
      <c r="AQ20" s="447"/>
      <c r="AR20" s="447"/>
      <c r="AS20" s="1083">
        <v>0</v>
      </c>
    </row>
    <row r="21" spans="1:45" s="1289" customFormat="1" ht="14.25" hidden="1" customHeight="1">
      <c r="L21" s="1252"/>
      <c r="M21" s="1285"/>
      <c r="N21" s="1285"/>
      <c r="O21" s="1285"/>
      <c r="P21" s="1285"/>
      <c r="Q21" s="1294"/>
      <c r="R21" s="1294"/>
      <c r="S21" s="665"/>
      <c r="AN21" s="447"/>
      <c r="AO21" s="447"/>
      <c r="AP21" s="447"/>
      <c r="AQ21" s="447"/>
      <c r="AR21" s="447"/>
      <c r="AS21" s="1083">
        <v>0</v>
      </c>
    </row>
    <row r="22" spans="1:45" s="1289" customFormat="1" ht="14.25" hidden="1" customHeight="1">
      <c r="L22" s="1252"/>
      <c r="M22" s="1285"/>
      <c r="N22" s="1285"/>
      <c r="O22" s="1287" t="s">
        <v>437</v>
      </c>
      <c r="P22" s="1285"/>
      <c r="Q22" s="1294"/>
      <c r="R22" s="1294"/>
      <c r="S22" s="665"/>
      <c r="T22" s="1083" t="s">
        <v>438</v>
      </c>
      <c r="AA22" s="123" t="s">
        <v>439</v>
      </c>
      <c r="AC22" s="123" t="s">
        <v>440</v>
      </c>
      <c r="AD22" s="1083" t="s">
        <v>438</v>
      </c>
      <c r="AI22" s="123" t="s">
        <v>441</v>
      </c>
      <c r="AK22" s="123" t="s">
        <v>440</v>
      </c>
      <c r="AN22" s="447"/>
      <c r="AO22" s="447"/>
      <c r="AP22" s="447"/>
      <c r="AQ22" s="447"/>
      <c r="AR22" s="447"/>
      <c r="AS22" s="1083">
        <v>0</v>
      </c>
    </row>
    <row r="23" spans="1:45" ht="14.25" hidden="1" customHeight="1">
      <c r="O23" s="1287"/>
      <c r="AS23" s="1078">
        <v>0</v>
      </c>
    </row>
    <row r="24" spans="1:45" ht="14.25" hidden="1" customHeight="1">
      <c r="O24" s="1287"/>
      <c r="AS24" s="1078">
        <v>0</v>
      </c>
    </row>
    <row r="25" spans="1:45" ht="14.65" customHeight="1">
      <c r="Q25" s="312"/>
      <c r="R25" s="312"/>
      <c r="S25" s="1198"/>
      <c r="T25" s="299"/>
      <c r="U25" s="299"/>
      <c r="V25" s="445"/>
      <c r="W25" s="445"/>
      <c r="X25" s="445"/>
      <c r="Y25" s="445"/>
      <c r="Z25" s="445"/>
      <c r="AA25" s="445"/>
      <c r="AB25" s="445"/>
      <c r="AC25" s="445"/>
      <c r="AD25" s="445"/>
      <c r="AE25" s="445"/>
      <c r="AF25" s="445"/>
      <c r="AG25" s="445"/>
      <c r="AH25" s="445"/>
      <c r="AI25" s="445"/>
      <c r="AJ25" s="445"/>
      <c r="AK25" s="445"/>
      <c r="AS25" s="1078">
        <v>14</v>
      </c>
    </row>
    <row r="26" spans="1:45" ht="54.75" customHeight="1">
      <c r="Q26" s="312"/>
      <c r="R26" s="312"/>
      <c r="S26" s="24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51"/>
      <c r="U26" s="2451"/>
      <c r="V26" s="2451"/>
      <c r="W26" s="2451"/>
      <c r="X26" s="2451"/>
      <c r="Y26" s="2451"/>
      <c r="Z26" s="2451"/>
      <c r="AA26" s="2451"/>
      <c r="AB26" s="2451"/>
      <c r="AC26" s="2451"/>
      <c r="AD26" s="2451"/>
      <c r="AE26" s="2451"/>
      <c r="AF26" s="2451"/>
      <c r="AG26" s="2451"/>
      <c r="AH26" s="2451"/>
      <c r="AI26" s="2451"/>
      <c r="AJ26" s="2451"/>
      <c r="AK26" s="1166"/>
      <c r="AS26" s="1078">
        <v>52</v>
      </c>
    </row>
    <row r="27" spans="1:45" ht="14.65" customHeight="1">
      <c r="Q27" s="312"/>
      <c r="R27" s="312"/>
      <c r="S27" s="2436" t="str">
        <f>IF(org=0,"Не определено",org)</f>
        <v>ПАО "ТГК-2"</v>
      </c>
      <c r="T27" s="2436"/>
      <c r="U27" s="2436"/>
      <c r="V27" s="2436"/>
      <c r="W27" s="2436"/>
      <c r="X27" s="2436"/>
      <c r="Y27" s="2436"/>
      <c r="Z27" s="2436"/>
      <c r="AA27" s="2436"/>
      <c r="AB27" s="2436"/>
      <c r="AC27" s="2436"/>
      <c r="AD27" s="2436"/>
      <c r="AE27" s="2436"/>
      <c r="AF27" s="2436"/>
      <c r="AG27" s="2436"/>
      <c r="AH27" s="2436"/>
      <c r="AI27" s="2436"/>
      <c r="AJ27" s="2436"/>
      <c r="AK27" s="1166"/>
      <c r="AS27" s="1078">
        <v>14</v>
      </c>
    </row>
    <row r="28" spans="1:45" ht="14.25" hidden="1" customHeight="1">
      <c r="Q28" s="312"/>
      <c r="R28" s="312"/>
      <c r="S28" s="1198"/>
      <c r="T28" s="299"/>
      <c r="U28" s="299"/>
      <c r="V28" s="259"/>
      <c r="W28" s="259"/>
      <c r="X28" s="259"/>
      <c r="Y28" s="259"/>
      <c r="Z28" s="259"/>
      <c r="AA28" s="259"/>
      <c r="AB28" s="259"/>
      <c r="AC28" s="259"/>
      <c r="AD28" s="259"/>
      <c r="AE28" s="259"/>
      <c r="AF28" s="259"/>
      <c r="AG28" s="259"/>
      <c r="AH28" s="259"/>
      <c r="AI28" s="259"/>
      <c r="AJ28" s="259"/>
      <c r="AK28" s="259"/>
      <c r="AL28" s="445"/>
      <c r="AS28" s="1078">
        <v>0</v>
      </c>
    </row>
    <row r="29" spans="1:45" s="1770" customFormat="1" ht="25.5" hidden="1" customHeight="1">
      <c r="A29" s="1291"/>
      <c r="B29" s="1291"/>
      <c r="C29" s="1291"/>
      <c r="D29" s="1291"/>
      <c r="E29" s="1291"/>
      <c r="F29" s="1291"/>
      <c r="G29" s="1291"/>
      <c r="H29" s="1291"/>
      <c r="I29" s="1291"/>
      <c r="J29" s="1291"/>
      <c r="K29" s="1291"/>
      <c r="L29" s="1292"/>
      <c r="M29" s="1291"/>
      <c r="N29" s="1291"/>
      <c r="O29" s="1291"/>
      <c r="S29" s="249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498"/>
      <c r="U29" s="1295"/>
      <c r="V29" s="2499" t="str">
        <f>IF(TITLE_NAME_OR_PR_CHANGE="",IF(TITLE_NAME_OR_PR="","",TITLE_NAME_OR_PR),TITLE_NAME_OR_PR_CHANGE)</f>
        <v/>
      </c>
      <c r="W29" s="2499"/>
      <c r="X29" s="2499"/>
      <c r="Y29" s="2499"/>
      <c r="Z29" s="2499"/>
      <c r="AA29" s="2499"/>
      <c r="AB29" s="2499"/>
      <c r="AC29" s="263"/>
      <c r="AD29" s="2499" t="str">
        <f>IF(TITLE_NAME_OR_PR_CHANGE="",IF(TITLE_NAME_OR_PR="","",TITLE_NAME_OR_PR),TITLE_NAME_OR_PR_CHANGE)</f>
        <v/>
      </c>
      <c r="AE29" s="2499"/>
      <c r="AF29" s="2499"/>
      <c r="AG29" s="2499"/>
      <c r="AH29" s="2499"/>
      <c r="AI29" s="2499"/>
      <c r="AJ29" s="2499"/>
      <c r="AK29" s="263"/>
      <c r="AL29" s="263"/>
      <c r="AM29" s="217"/>
      <c r="AN29" s="304"/>
      <c r="AO29" s="304"/>
      <c r="AP29" s="304"/>
      <c r="AQ29" s="304"/>
      <c r="AR29" s="304"/>
      <c r="AS29" s="354">
        <v>0</v>
      </c>
    </row>
    <row r="30" spans="1:45" s="1770" customFormat="1" ht="18.75" hidden="1" customHeight="1">
      <c r="A30" s="1291"/>
      <c r="B30" s="1291"/>
      <c r="C30" s="1291"/>
      <c r="D30" s="1291"/>
      <c r="E30" s="1291"/>
      <c r="F30" s="1291"/>
      <c r="G30" s="1291"/>
      <c r="H30" s="1291"/>
      <c r="I30" s="1291"/>
      <c r="J30" s="1291"/>
      <c r="K30" s="1291"/>
      <c r="L30" s="1292"/>
      <c r="M30" s="1291"/>
      <c r="N30" s="1291"/>
      <c r="O30" s="1291"/>
      <c r="S30" s="2498" t="str">
        <f>"Дата документа об "&amp;IF(TITLE_DATE_PR_CHANGE="","утверждении","изменении")&amp;" тарифов"</f>
        <v>Дата документа об утверждении тарифов</v>
      </c>
      <c r="T30" s="2498"/>
      <c r="U30" s="1295"/>
      <c r="V30" s="2508" t="str">
        <f>IF(TITLE_DATE_PR_CHANGE="",IF(TITLE_DATE_PR="","",TITLE_DATE_PR),TITLE_DATE_PR_CHANGE)</f>
        <v/>
      </c>
      <c r="W30" s="2508"/>
      <c r="X30" s="2508"/>
      <c r="Y30" s="2508"/>
      <c r="Z30" s="2508"/>
      <c r="AA30" s="2508"/>
      <c r="AB30" s="2508"/>
      <c r="AC30" s="263"/>
      <c r="AD30" s="2508" t="str">
        <f>IF(TITLE_DATE_PR_CHANGE="",IF(TITLE_DATE_PR="","",TITLE_DATE_PR),TITLE_DATE_PR_CHANGE)</f>
        <v/>
      </c>
      <c r="AE30" s="2508"/>
      <c r="AF30" s="2508"/>
      <c r="AG30" s="2508"/>
      <c r="AH30" s="2508"/>
      <c r="AI30" s="2508"/>
      <c r="AJ30" s="2508"/>
      <c r="AK30" s="263"/>
      <c r="AL30" s="263"/>
      <c r="AM30" s="217"/>
      <c r="AN30" s="304"/>
      <c r="AO30" s="304"/>
      <c r="AP30" s="304"/>
      <c r="AQ30" s="304"/>
      <c r="AR30" s="304"/>
      <c r="AS30" s="354">
        <v>0</v>
      </c>
    </row>
    <row r="31" spans="1:45" s="1770" customFormat="1" ht="18.75" hidden="1" customHeight="1">
      <c r="A31" s="1291"/>
      <c r="B31" s="1291"/>
      <c r="C31" s="1291"/>
      <c r="D31" s="1291"/>
      <c r="E31" s="1291"/>
      <c r="F31" s="1291"/>
      <c r="G31" s="1291"/>
      <c r="H31" s="1291"/>
      <c r="I31" s="1291"/>
      <c r="J31" s="1291"/>
      <c r="K31" s="1291"/>
      <c r="L31" s="1292"/>
      <c r="M31" s="1291"/>
      <c r="N31" s="1291"/>
      <c r="O31" s="1291"/>
      <c r="S31" s="2498" t="str">
        <f>"Номер документа об "&amp;IF(TITLE_DATE_PR_CHANGE="","утверждении","изменении")&amp;" тарифов"</f>
        <v>Номер документа об утверждении тарифов</v>
      </c>
      <c r="T31" s="2498"/>
      <c r="U31" s="1295"/>
      <c r="V31" s="2499" t="str">
        <f>IF(TITLE_NUMBER_PR_CHANGE="",IF(TITLE_NUMBER_PR="","",TITLE_NUMBER_PR),TITLE_NUMBER_PR_CHANGE)</f>
        <v/>
      </c>
      <c r="W31" s="2499"/>
      <c r="X31" s="2499"/>
      <c r="Y31" s="2499"/>
      <c r="Z31" s="2499"/>
      <c r="AA31" s="2499"/>
      <c r="AB31" s="2499"/>
      <c r="AC31" s="263"/>
      <c r="AD31" s="2499" t="str">
        <f>IF(TITLE_NUMBER_PR_CHANGE="",IF(TITLE_NUMBER_PR="","",TITLE_NUMBER_PR),TITLE_NUMBER_PR_CHANGE)</f>
        <v/>
      </c>
      <c r="AE31" s="2499"/>
      <c r="AF31" s="2499"/>
      <c r="AG31" s="2499"/>
      <c r="AH31" s="2499"/>
      <c r="AI31" s="2499"/>
      <c r="AJ31" s="2499"/>
      <c r="AK31" s="263"/>
      <c r="AL31" s="263"/>
      <c r="AM31" s="217"/>
      <c r="AN31" s="304"/>
      <c r="AO31" s="304"/>
      <c r="AP31" s="304"/>
      <c r="AQ31" s="304"/>
      <c r="AR31" s="304"/>
      <c r="AS31" s="354">
        <v>0</v>
      </c>
    </row>
    <row r="32" spans="1:45" s="1770" customFormat="1" ht="18.75" hidden="1" customHeight="1">
      <c r="A32" s="1291"/>
      <c r="B32" s="1291"/>
      <c r="C32" s="1291"/>
      <c r="D32" s="1291"/>
      <c r="E32" s="1291"/>
      <c r="F32" s="1291"/>
      <c r="G32" s="1291"/>
      <c r="H32" s="1291"/>
      <c r="I32" s="1291"/>
      <c r="J32" s="1291"/>
      <c r="K32" s="1291"/>
      <c r="L32" s="1292"/>
      <c r="M32" s="1291"/>
      <c r="N32" s="1291"/>
      <c r="O32" s="1291"/>
      <c r="S32" s="2498" t="s">
        <v>43</v>
      </c>
      <c r="T32" s="2498"/>
      <c r="U32" s="1295"/>
      <c r="V32" s="2499" t="str">
        <f>IF(TITLE_IST_PUB_CHANGE="",IF(TITLE_IST_PUB="","",TITLE_IST_PUB),TITLE_IST_PUB_CHANGE)</f>
        <v/>
      </c>
      <c r="W32" s="2499"/>
      <c r="X32" s="2499"/>
      <c r="Y32" s="2499"/>
      <c r="Z32" s="2499"/>
      <c r="AA32" s="2499"/>
      <c r="AB32" s="2499"/>
      <c r="AC32" s="263"/>
      <c r="AD32" s="2499" t="str">
        <f>IF(TITLE_IST_PUB_CHANGE="",IF(TITLE_IST_PUB="","",TITLE_IST_PUB),TITLE_IST_PUB_CHANGE)</f>
        <v/>
      </c>
      <c r="AE32" s="2499"/>
      <c r="AF32" s="2499"/>
      <c r="AG32" s="2499"/>
      <c r="AH32" s="2499"/>
      <c r="AI32" s="2499"/>
      <c r="AJ32" s="2499"/>
      <c r="AK32" s="263"/>
      <c r="AL32" s="263"/>
      <c r="AM32" s="217"/>
      <c r="AN32" s="304"/>
      <c r="AO32" s="304"/>
      <c r="AP32" s="304"/>
      <c r="AQ32" s="304"/>
      <c r="AR32" s="304"/>
      <c r="AS32" s="354">
        <v>0</v>
      </c>
    </row>
    <row r="33" spans="1:45" ht="14.25" hidden="1" customHeight="1">
      <c r="Q33" s="312"/>
      <c r="R33" s="312"/>
      <c r="S33" s="1198"/>
      <c r="T33" s="393"/>
      <c r="U33" s="299"/>
      <c r="V33" s="259"/>
      <c r="W33" s="259"/>
      <c r="X33" s="259"/>
      <c r="Y33" s="259"/>
      <c r="Z33" s="259"/>
      <c r="AA33" s="259"/>
      <c r="AB33" s="259"/>
      <c r="AC33" s="259"/>
      <c r="AD33" s="259"/>
      <c r="AE33" s="259"/>
      <c r="AF33" s="259"/>
      <c r="AG33" s="259"/>
      <c r="AH33" s="259"/>
      <c r="AI33" s="259"/>
      <c r="AJ33" s="259"/>
      <c r="AK33" s="259"/>
      <c r="AL33" s="445"/>
      <c r="AS33" s="1078">
        <v>0</v>
      </c>
    </row>
    <row r="34" spans="1:45" s="1770" customFormat="1" ht="18.75" hidden="1" customHeight="1">
      <c r="A34" s="1291"/>
      <c r="B34" s="1291"/>
      <c r="C34" s="1291"/>
      <c r="D34" s="1291"/>
      <c r="E34" s="1291"/>
      <c r="F34" s="1291"/>
      <c r="G34" s="1291"/>
      <c r="H34" s="1291"/>
      <c r="I34" s="1291"/>
      <c r="J34" s="1291"/>
      <c r="K34" s="1291"/>
      <c r="L34" s="1292"/>
      <c r="M34" s="1291"/>
      <c r="N34" s="1291"/>
      <c r="O34" s="1291"/>
      <c r="S34" s="2498" t="str">
        <f>"Дата подачи заявления об "&amp;IF(TITLE_DATE_PR_CHANGE="","утверждении","изменении")&amp;" тарифов"</f>
        <v>Дата подачи заявления об утверждении тарифов</v>
      </c>
      <c r="T34" s="2498"/>
      <c r="U34" s="1295"/>
      <c r="V34" s="2508" t="str">
        <f>IF(TITLE_DATE_PR_CHANGE="",IF(TITLE_DATE_PR="","",TITLE_DATE_PR),TITLE_DATE_PR_CHANGE)</f>
        <v/>
      </c>
      <c r="W34" s="2508"/>
      <c r="X34" s="2508"/>
      <c r="Y34" s="2508"/>
      <c r="Z34" s="2508"/>
      <c r="AA34" s="2508"/>
      <c r="AB34" s="2508"/>
      <c r="AC34" s="263"/>
      <c r="AD34" s="2508" t="str">
        <f>IF(TITLE_DATE_PR_CHANGE="",IF(TITLE_DATE_PR="","",TITLE_DATE_PR),TITLE_DATE_PR_CHANGE)</f>
        <v/>
      </c>
      <c r="AE34" s="2508"/>
      <c r="AF34" s="2508"/>
      <c r="AG34" s="2508"/>
      <c r="AH34" s="2508"/>
      <c r="AI34" s="2508"/>
      <c r="AJ34" s="2508"/>
      <c r="AK34" s="263"/>
      <c r="AL34" s="263"/>
      <c r="AM34" s="217"/>
      <c r="AN34" s="304"/>
      <c r="AO34" s="304"/>
      <c r="AP34" s="304"/>
      <c r="AQ34" s="304"/>
      <c r="AR34" s="304"/>
      <c r="AS34" s="354">
        <v>0</v>
      </c>
    </row>
    <row r="35" spans="1:45" s="1770" customFormat="1" ht="18.75" hidden="1" customHeight="1">
      <c r="A35" s="1291"/>
      <c r="B35" s="1291"/>
      <c r="C35" s="1291"/>
      <c r="D35" s="1291"/>
      <c r="E35" s="1291"/>
      <c r="F35" s="1291"/>
      <c r="G35" s="1291"/>
      <c r="H35" s="1291"/>
      <c r="I35" s="1291"/>
      <c r="J35" s="1291"/>
      <c r="K35" s="1291"/>
      <c r="L35" s="1292"/>
      <c r="M35" s="1291"/>
      <c r="N35" s="1291"/>
      <c r="O35" s="1291"/>
      <c r="S35" s="2498" t="str">
        <f>"Номер подачи заявления об "&amp;IF(TITLE_DATE_PR_CHANGE="","утверждении","изменении")&amp;" тарифов"</f>
        <v>Номер подачи заявления об утверждении тарифов</v>
      </c>
      <c r="T35" s="2498"/>
      <c r="U35" s="1295"/>
      <c r="V35" s="2499" t="str">
        <f>IF(TITLE_NUMBER_PR_CHANGE="",IF(TITLE_NUMBER_PR="","",TITLE_NUMBER_PR),TITLE_NUMBER_PR_CHANGE)</f>
        <v/>
      </c>
      <c r="W35" s="2499"/>
      <c r="X35" s="2499"/>
      <c r="Y35" s="2499"/>
      <c r="Z35" s="2499"/>
      <c r="AA35" s="2499"/>
      <c r="AB35" s="2499"/>
      <c r="AC35" s="263"/>
      <c r="AD35" s="2499" t="str">
        <f>IF(TITLE_NUMBER_PR_CHANGE="",IF(TITLE_NUMBER_PR="","",TITLE_NUMBER_PR),TITLE_NUMBER_PR_CHANGE)</f>
        <v/>
      </c>
      <c r="AE35" s="2499"/>
      <c r="AF35" s="2499"/>
      <c r="AG35" s="2499"/>
      <c r="AH35" s="2499"/>
      <c r="AI35" s="2499"/>
      <c r="AJ35" s="2499"/>
      <c r="AK35" s="263"/>
      <c r="AL35" s="263"/>
      <c r="AM35" s="217"/>
      <c r="AN35" s="304"/>
      <c r="AO35" s="304"/>
      <c r="AP35" s="304"/>
      <c r="AQ35" s="304"/>
      <c r="AR35" s="304"/>
      <c r="AS35" s="354">
        <v>0</v>
      </c>
    </row>
    <row r="36" spans="1:45" s="1770" customFormat="1" ht="0" hidden="1" customHeight="1">
      <c r="A36" s="1291"/>
      <c r="B36" s="1291"/>
      <c r="C36" s="1291"/>
      <c r="D36" s="1291"/>
      <c r="E36" s="1291"/>
      <c r="F36" s="1291"/>
      <c r="G36" s="1291"/>
      <c r="H36" s="1291"/>
      <c r="I36" s="1291"/>
      <c r="J36" s="1291"/>
      <c r="K36" s="1291"/>
      <c r="L36" s="1292"/>
      <c r="M36" s="1291"/>
      <c r="N36" s="1291"/>
      <c r="O36" s="1291"/>
      <c r="S36" s="260"/>
      <c r="T36" s="260"/>
      <c r="U36" s="1263"/>
      <c r="V36" s="263"/>
      <c r="W36" s="263"/>
      <c r="X36" s="263"/>
      <c r="Y36" s="263"/>
      <c r="Z36" s="263"/>
      <c r="AA36" s="263"/>
      <c r="AB36" s="263"/>
      <c r="AC36" s="215" t="s">
        <v>442</v>
      </c>
      <c r="AD36" s="263"/>
      <c r="AE36" s="263"/>
      <c r="AF36" s="263"/>
      <c r="AG36" s="263"/>
      <c r="AH36" s="263"/>
      <c r="AI36" s="263"/>
      <c r="AJ36" s="263"/>
      <c r="AK36" s="215" t="s">
        <v>442</v>
      </c>
      <c r="AN36" s="304"/>
      <c r="AO36" s="304"/>
      <c r="AP36" s="304"/>
      <c r="AQ36" s="304"/>
      <c r="AR36" s="304"/>
      <c r="AS36" s="354">
        <v>0</v>
      </c>
    </row>
    <row r="37" spans="1:45" ht="14.65" customHeight="1">
      <c r="Q37" s="312"/>
      <c r="R37" s="312"/>
      <c r="S37" s="1198"/>
      <c r="T37" s="299"/>
      <c r="U37" s="1167"/>
      <c r="V37" s="2500"/>
      <c r="W37" s="2500"/>
      <c r="X37" s="2500"/>
      <c r="Y37" s="2500"/>
      <c r="Z37" s="2500"/>
      <c r="AA37" s="2500"/>
      <c r="AB37" s="2500"/>
      <c r="AC37" s="2500"/>
      <c r="AD37" s="2500"/>
      <c r="AE37" s="2500"/>
      <c r="AF37" s="2500"/>
      <c r="AG37" s="2500"/>
      <c r="AH37" s="2500"/>
      <c r="AI37" s="2500"/>
      <c r="AJ37" s="2500"/>
      <c r="AK37" s="2500"/>
      <c r="AS37" s="1078">
        <v>14</v>
      </c>
    </row>
    <row r="38" spans="1:45" ht="14.65" customHeight="1">
      <c r="Q38" s="312"/>
      <c r="R38" s="312"/>
      <c r="S38" s="2371" t="s">
        <v>319</v>
      </c>
      <c r="T38" s="2371"/>
      <c r="U38" s="2371"/>
      <c r="V38" s="2371"/>
      <c r="W38" s="2371"/>
      <c r="X38" s="2371"/>
      <c r="Y38" s="2371"/>
      <c r="Z38" s="2371"/>
      <c r="AA38" s="2371"/>
      <c r="AB38" s="2371"/>
      <c r="AC38" s="2371"/>
      <c r="AD38" s="2371"/>
      <c r="AE38" s="2371"/>
      <c r="AF38" s="2371"/>
      <c r="AG38" s="2371"/>
      <c r="AH38" s="2371"/>
      <c r="AI38" s="2371"/>
      <c r="AJ38" s="2371"/>
      <c r="AK38" s="2371"/>
      <c r="AL38" s="2371"/>
      <c r="AM38" s="2371" t="s">
        <v>320</v>
      </c>
      <c r="AS38" s="1078">
        <v>14</v>
      </c>
    </row>
    <row r="39" spans="1:45" ht="14.65" customHeight="1">
      <c r="Q39" s="312"/>
      <c r="R39" s="312"/>
      <c r="S39" s="2514" t="s">
        <v>89</v>
      </c>
      <c r="T39" s="2466" t="s">
        <v>443</v>
      </c>
      <c r="U39" s="238"/>
      <c r="V39" s="2515" t="s">
        <v>444</v>
      </c>
      <c r="W39" s="2516"/>
      <c r="X39" s="2516"/>
      <c r="Y39" s="2516"/>
      <c r="Z39" s="2516"/>
      <c r="AA39" s="2516"/>
      <c r="AB39" s="2517"/>
      <c r="AC39" s="2518" t="s">
        <v>445</v>
      </c>
      <c r="AD39" s="2515" t="s">
        <v>444</v>
      </c>
      <c r="AE39" s="2516"/>
      <c r="AF39" s="2516"/>
      <c r="AG39" s="2516"/>
      <c r="AH39" s="2516"/>
      <c r="AI39" s="2516"/>
      <c r="AJ39" s="2517"/>
      <c r="AK39" s="2518" t="s">
        <v>446</v>
      </c>
      <c r="AL39" s="2521" t="s">
        <v>447</v>
      </c>
      <c r="AM39" s="2371"/>
      <c r="AS39" s="1078">
        <v>14</v>
      </c>
    </row>
    <row r="40" spans="1:45" ht="35.65" customHeight="1">
      <c r="Q40" s="312"/>
      <c r="R40" s="312"/>
      <c r="S40" s="2514"/>
      <c r="T40" s="2466"/>
      <c r="U40" s="958"/>
      <c r="V40" s="2435" t="s">
        <v>448</v>
      </c>
      <c r="W40" s="2524"/>
      <c r="X40" s="2350" t="s">
        <v>450</v>
      </c>
      <c r="Y40" s="2349"/>
      <c r="Z40" s="2350" t="s">
        <v>451</v>
      </c>
      <c r="AA40" s="2356"/>
      <c r="AB40" s="2349"/>
      <c r="AC40" s="2519"/>
      <c r="AD40" s="2435" t="s">
        <v>448</v>
      </c>
      <c r="AE40" s="2524"/>
      <c r="AF40" s="2350" t="s">
        <v>450</v>
      </c>
      <c r="AG40" s="2349"/>
      <c r="AH40" s="2350" t="s">
        <v>451</v>
      </c>
      <c r="AI40" s="2356"/>
      <c r="AJ40" s="2349"/>
      <c r="AK40" s="2519"/>
      <c r="AL40" s="2522"/>
      <c r="AM40" s="2371"/>
      <c r="AS40" s="1078">
        <v>34</v>
      </c>
    </row>
    <row r="41" spans="1:45" ht="35.65" customHeight="1">
      <c r="A41" s="1293"/>
      <c r="B41" s="1293" t="s">
        <v>156</v>
      </c>
      <c r="C41" s="1293" t="s">
        <v>157</v>
      </c>
      <c r="D41" s="1293" t="s">
        <v>158</v>
      </c>
      <c r="E41" s="1287" t="s">
        <v>452</v>
      </c>
      <c r="F41" s="1287" t="s">
        <v>453</v>
      </c>
      <c r="G41" s="1287" t="s">
        <v>454</v>
      </c>
      <c r="H41" s="1287" t="s">
        <v>455</v>
      </c>
      <c r="I41" s="1287" t="s">
        <v>456</v>
      </c>
      <c r="J41" s="1287" t="s">
        <v>457</v>
      </c>
      <c r="K41" s="1287" t="s">
        <v>458</v>
      </c>
      <c r="L41" s="1287" t="s">
        <v>437</v>
      </c>
      <c r="Q41" s="312"/>
      <c r="R41" s="312"/>
      <c r="S41" s="2514"/>
      <c r="T41" s="2466"/>
      <c r="U41" s="239"/>
      <c r="V41" s="2485"/>
      <c r="W41" s="2525"/>
      <c r="X41" s="1145" t="s">
        <v>459</v>
      </c>
      <c r="Y41" s="1145" t="s">
        <v>460</v>
      </c>
      <c r="Z41" s="1261" t="s">
        <v>461</v>
      </c>
      <c r="AA41" s="2474" t="s">
        <v>462</v>
      </c>
      <c r="AB41" s="2476"/>
      <c r="AC41" s="2520"/>
      <c r="AD41" s="2485"/>
      <c r="AE41" s="2525"/>
      <c r="AF41" s="1145" t="s">
        <v>459</v>
      </c>
      <c r="AG41" s="1145" t="s">
        <v>460</v>
      </c>
      <c r="AH41" s="1261" t="s">
        <v>461</v>
      </c>
      <c r="AI41" s="2474" t="s">
        <v>462</v>
      </c>
      <c r="AJ41" s="2476"/>
      <c r="AK41" s="2520"/>
      <c r="AL41" s="2523"/>
      <c r="AM41" s="2371"/>
      <c r="AS41" s="1078">
        <v>34</v>
      </c>
    </row>
    <row r="42" spans="1:45" s="1564" customFormat="1" ht="11.25" hidden="1" customHeight="1">
      <c r="A42" s="1293"/>
      <c r="B42" s="1293"/>
      <c r="C42" s="1293"/>
      <c r="D42" s="1293"/>
      <c r="E42" s="1293"/>
      <c r="F42" s="1293"/>
      <c r="G42" s="1293"/>
      <c r="H42" s="1293"/>
      <c r="I42" s="1293"/>
      <c r="J42" s="1293"/>
      <c r="K42" s="1293"/>
      <c r="L42" s="1287"/>
      <c r="M42" s="1285"/>
      <c r="N42" s="1285"/>
      <c r="O42" s="1285"/>
      <c r="P42" s="1169"/>
      <c r="Q42" s="1170"/>
      <c r="R42" s="1177">
        <v>1</v>
      </c>
      <c r="S42" s="1200" t="s">
        <v>100</v>
      </c>
      <c r="T42" s="1178" t="s">
        <v>103</v>
      </c>
      <c r="U42" s="1168" t="str">
        <f ca="1">OFFSET(U42,0,-1)</f>
        <v>2</v>
      </c>
      <c r="V42" s="1258">
        <f ca="1">OFFSET(V42,0,-1)+1</f>
        <v>3</v>
      </c>
      <c r="W42" s="1258"/>
      <c r="X42" s="1258">
        <f ca="1">OFFSET(X42,0,-1)+1</f>
        <v>1</v>
      </c>
      <c r="Y42" s="1258">
        <f ca="1">OFFSET(Y42,0,-1)+1</f>
        <v>2</v>
      </c>
      <c r="Z42" s="1258">
        <f ca="1">OFFSET(Z42,0,-1)+1</f>
        <v>3</v>
      </c>
      <c r="AA42" s="2513">
        <f ca="1">OFFSET(AA42,0,-1)+1</f>
        <v>4</v>
      </c>
      <c r="AB42" s="2513"/>
      <c r="AC42" s="1258">
        <f ca="1">OFFSET(AC42,0,-2)+1</f>
        <v>5</v>
      </c>
      <c r="AD42" s="1258">
        <f ca="1">OFFSET(AD42,0,-1)+1</f>
        <v>6</v>
      </c>
      <c r="AE42" s="1258"/>
      <c r="AF42" s="1258">
        <f ca="1">OFFSET(AF42,0,-1)+1</f>
        <v>1</v>
      </c>
      <c r="AG42" s="1258">
        <f ca="1">OFFSET(AG42,0,-1)+1</f>
        <v>2</v>
      </c>
      <c r="AH42" s="1258">
        <f ca="1">OFFSET(AH42,0,-1)+1</f>
        <v>3</v>
      </c>
      <c r="AI42" s="2513">
        <f ca="1">OFFSET(AI42,0,-1)+1</f>
        <v>4</v>
      </c>
      <c r="AJ42" s="2513"/>
      <c r="AK42" s="1258">
        <f ca="1">OFFSET(AK42,0,-2)+1</f>
        <v>5</v>
      </c>
      <c r="AL42" s="1168">
        <f ca="1">OFFSET(AL42,0,-1)</f>
        <v>5</v>
      </c>
      <c r="AM42" s="1258">
        <f ca="1">OFFSET(AM42,0,-1)+1</f>
        <v>6</v>
      </c>
      <c r="AN42" s="447"/>
      <c r="AO42" s="447"/>
      <c r="AP42" s="447"/>
      <c r="AQ42" s="447"/>
      <c r="AR42" s="447"/>
      <c r="AS42" s="432">
        <v>0</v>
      </c>
    </row>
    <row r="43" spans="1:45" ht="21.95" customHeight="1">
      <c r="A43" s="1286" t="s">
        <v>201</v>
      </c>
      <c r="B43" s="1286"/>
      <c r="C43" s="1286"/>
      <c r="D43" s="1286"/>
      <c r="E43" s="2506">
        <v>1</v>
      </c>
      <c r="F43" s="1286"/>
      <c r="G43" s="1286"/>
      <c r="H43" s="1286"/>
      <c r="I43" s="1286"/>
      <c r="J43" s="1286"/>
      <c r="K43" s="1286"/>
      <c r="L43" s="1287"/>
      <c r="M43" s="1288"/>
      <c r="N43" s="1288"/>
      <c r="O43" s="1288"/>
      <c r="P43" s="297"/>
      <c r="Q43" s="296"/>
      <c r="R43" s="291"/>
      <c r="S43" s="1259">
        <f>INDEX(PT_DIFFERENTIATION_NUM_NTAR,MATCH(A43,PT_DIFFERENTIATION_NTAR_ID,0))</f>
        <v>0</v>
      </c>
      <c r="T43" s="235" t="s">
        <v>144</v>
      </c>
      <c r="U43" s="237"/>
      <c r="V43" s="2492"/>
      <c r="W43" s="2493"/>
      <c r="X43" s="2493"/>
      <c r="Y43" s="2493"/>
      <c r="Z43" s="2493"/>
      <c r="AA43" s="2493"/>
      <c r="AB43" s="2493"/>
      <c r="AC43" s="2494"/>
      <c r="AD43" s="2492" t="str">
        <f>INDEX(PT_DIFFERENTIATION_NTAR,MATCH(A43,PT_DIFFERENTIATION_NTAR_ID,0))</f>
        <v/>
      </c>
      <c r="AE43" s="2493"/>
      <c r="AF43" s="2493"/>
      <c r="AG43" s="2493"/>
      <c r="AH43" s="2493"/>
      <c r="AI43" s="2493"/>
      <c r="AJ43" s="2493"/>
      <c r="AK43" s="2493"/>
      <c r="AL43" s="2494"/>
      <c r="AM43" s="118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8">
        <v>21</v>
      </c>
    </row>
    <row r="44" spans="1:45" ht="21.95" customHeight="1">
      <c r="A44" s="1286" t="s">
        <v>201</v>
      </c>
      <c r="B44" s="1286" t="s">
        <v>202</v>
      </c>
      <c r="C44" s="1286"/>
      <c r="D44" s="1286"/>
      <c r="E44" s="2507"/>
      <c r="F44" s="2506">
        <v>1</v>
      </c>
      <c r="G44" s="1286"/>
      <c r="H44" s="1286"/>
      <c r="I44" s="1286"/>
      <c r="J44" s="1286"/>
      <c r="K44" s="1286"/>
      <c r="L44" s="1287"/>
      <c r="M44" s="1288"/>
      <c r="N44" s="1288"/>
      <c r="O44" s="1288"/>
      <c r="P44" s="1255"/>
      <c r="Q44" s="288"/>
      <c r="R44" s="289"/>
      <c r="S44" s="1259" t="str">
        <f>INDEX(PT_DIFFERENTIATION_NUM_TER,MATCH(B44,PT_DIFFERENTIATION_TER_ID,0))</f>
        <v>.</v>
      </c>
      <c r="T44" s="245" t="s">
        <v>416</v>
      </c>
      <c r="U44" s="237"/>
      <c r="V44" s="2492"/>
      <c r="W44" s="2493"/>
      <c r="X44" s="2493"/>
      <c r="Y44" s="2493"/>
      <c r="Z44" s="2493"/>
      <c r="AA44" s="2493"/>
      <c r="AB44" s="2493"/>
      <c r="AC44" s="2494"/>
      <c r="AD44" s="2492" t="str">
        <f>INDEX(PT_DIFFERENTIATION_TER,MATCH(B44,PT_DIFFERENTIATION_TER_ID,0))</f>
        <v/>
      </c>
      <c r="AE44" s="2493"/>
      <c r="AF44" s="2493"/>
      <c r="AG44" s="2493"/>
      <c r="AH44" s="2493"/>
      <c r="AI44" s="2493"/>
      <c r="AJ44" s="2493"/>
      <c r="AK44" s="2493"/>
      <c r="AL44" s="2494"/>
      <c r="AM44" s="1181" t="s">
        <v>417</v>
      </c>
      <c r="AO44" s="436"/>
      <c r="AP44" s="436" t="str">
        <f t="shared" si="1"/>
        <v>Территория действия тарифа</v>
      </c>
      <c r="AQ44" s="436"/>
      <c r="AR44" s="436"/>
      <c r="AS44" s="1078">
        <v>21</v>
      </c>
    </row>
    <row r="45" spans="1:45" ht="24" customHeight="1">
      <c r="A45" s="1286" t="s">
        <v>201</v>
      </c>
      <c r="B45" s="1286" t="s">
        <v>202</v>
      </c>
      <c r="C45" s="1286" t="s">
        <v>203</v>
      </c>
      <c r="D45" s="1286"/>
      <c r="E45" s="2507"/>
      <c r="F45" s="2507"/>
      <c r="G45" s="2506">
        <v>1</v>
      </c>
      <c r="H45" s="1286"/>
      <c r="I45" s="1286"/>
      <c r="J45" s="1286"/>
      <c r="K45" s="1286"/>
      <c r="L45" s="1287"/>
      <c r="M45" s="1288"/>
      <c r="N45" s="1288"/>
      <c r="O45" s="1288"/>
      <c r="P45" s="290"/>
      <c r="Q45" s="288"/>
      <c r="R45" s="289"/>
      <c r="S45" s="1259" t="str">
        <f>INDEX(PT_DIFFERENTIATION_NUM_CS,MATCH(C45,PT_DIFFERENTIATION_CS_ID,0))</f>
        <v>..</v>
      </c>
      <c r="T45" s="246" t="s">
        <v>418</v>
      </c>
      <c r="U45" s="237"/>
      <c r="V45" s="2492"/>
      <c r="W45" s="2493"/>
      <c r="X45" s="2493"/>
      <c r="Y45" s="2493"/>
      <c r="Z45" s="2493"/>
      <c r="AA45" s="2493"/>
      <c r="AB45" s="2493"/>
      <c r="AC45" s="2494"/>
      <c r="AD45" s="2492" t="str">
        <f>INDEX(PT_DIFFERENTIATION_CS,MATCH(C45,PT_DIFFERENTIATION_CS_ID,0))</f>
        <v/>
      </c>
      <c r="AE45" s="2493"/>
      <c r="AF45" s="2493"/>
      <c r="AG45" s="2493"/>
      <c r="AH45" s="2493"/>
      <c r="AI45" s="2493"/>
      <c r="AJ45" s="2493"/>
      <c r="AK45" s="2493"/>
      <c r="AL45" s="2494"/>
      <c r="AM45" s="1181" t="s">
        <v>419</v>
      </c>
      <c r="AO45" s="436"/>
      <c r="AP45" s="436" t="str">
        <f t="shared" si="1"/>
        <v xml:space="preserve">Наименование системы теплоснабжения </v>
      </c>
      <c r="AQ45" s="436"/>
      <c r="AR45" s="436"/>
      <c r="AS45" s="1078">
        <v>23</v>
      </c>
    </row>
    <row r="46" spans="1:45" ht="21.95" customHeight="1">
      <c r="A46" s="1286" t="s">
        <v>201</v>
      </c>
      <c r="B46" s="1286" t="s">
        <v>202</v>
      </c>
      <c r="C46" s="1286" t="s">
        <v>203</v>
      </c>
      <c r="D46" s="1286" t="s">
        <v>204</v>
      </c>
      <c r="E46" s="2507"/>
      <c r="F46" s="2507"/>
      <c r="G46" s="2507"/>
      <c r="H46" s="2506">
        <v>1</v>
      </c>
      <c r="I46" s="1286"/>
      <c r="J46" s="1286"/>
      <c r="K46" s="1286"/>
      <c r="L46" s="1287"/>
      <c r="M46" s="1288"/>
      <c r="N46" s="1288"/>
      <c r="O46" s="1288"/>
      <c r="P46" s="290"/>
      <c r="Q46" s="288"/>
      <c r="R46" s="289"/>
      <c r="S46" s="1259" t="str">
        <f>INDEX(PT_DIFFERENTIATION_NUM_IST_TE,MATCH(D46,PT_DIFFERENTIATION_IST_TE_ID,0))</f>
        <v>...</v>
      </c>
      <c r="T46" s="247" t="s">
        <v>420</v>
      </c>
      <c r="U46" s="237"/>
      <c r="V46" s="2492"/>
      <c r="W46" s="2493"/>
      <c r="X46" s="2493"/>
      <c r="Y46" s="2493"/>
      <c r="Z46" s="2493"/>
      <c r="AA46" s="2493"/>
      <c r="AB46" s="2493"/>
      <c r="AC46" s="2494"/>
      <c r="AD46" s="2492" t="str">
        <f>INDEX(PT_DIFFERENTIATION_IST_TE,MATCH(D46,PT_DIFFERENTIATION_IST_TE_ID,0))</f>
        <v/>
      </c>
      <c r="AE46" s="2493"/>
      <c r="AF46" s="2493"/>
      <c r="AG46" s="2493"/>
      <c r="AH46" s="2493"/>
      <c r="AI46" s="2493"/>
      <c r="AJ46" s="2493"/>
      <c r="AK46" s="2493"/>
      <c r="AL46" s="2494"/>
      <c r="AM46" s="1181" t="s">
        <v>421</v>
      </c>
      <c r="AO46" s="436"/>
      <c r="AP46" s="436" t="str">
        <f t="shared" si="1"/>
        <v xml:space="preserve">Источник тепловой энергии  </v>
      </c>
      <c r="AQ46" s="436"/>
      <c r="AR46" s="436"/>
      <c r="AS46" s="1078">
        <v>21</v>
      </c>
    </row>
    <row r="47" spans="1:45" s="1565" customFormat="1" ht="0" hidden="1" customHeight="1">
      <c r="A47" s="1266" t="s">
        <v>201</v>
      </c>
      <c r="B47" s="1266" t="s">
        <v>202</v>
      </c>
      <c r="C47" s="1266" t="s">
        <v>203</v>
      </c>
      <c r="D47" s="1266" t="s">
        <v>204</v>
      </c>
      <c r="E47" s="2507"/>
      <c r="F47" s="2507"/>
      <c r="G47" s="2507"/>
      <c r="H47" s="2507"/>
      <c r="I47" s="2504" t="str">
        <f>S46&amp;".1"</f>
        <v>....1</v>
      </c>
      <c r="J47" s="1266"/>
      <c r="K47" s="1266"/>
      <c r="L47" s="1269" t="s">
        <v>422</v>
      </c>
      <c r="M47" s="446"/>
      <c r="N47" s="446"/>
      <c r="O47" s="446"/>
      <c r="P47" s="2505">
        <v>1</v>
      </c>
      <c r="Q47" s="1254"/>
      <c r="R47" s="292"/>
      <c r="S47" s="969"/>
      <c r="T47" s="1306"/>
      <c r="U47" s="1307"/>
      <c r="V47" s="2535"/>
      <c r="W47" s="2536"/>
      <c r="X47" s="2536"/>
      <c r="Y47" s="2536"/>
      <c r="Z47" s="2536"/>
      <c r="AA47" s="2536"/>
      <c r="AB47" s="2536"/>
      <c r="AC47" s="2537"/>
      <c r="AD47" s="2535"/>
      <c r="AE47" s="2536"/>
      <c r="AF47" s="2536"/>
      <c r="AG47" s="2536"/>
      <c r="AH47" s="2536"/>
      <c r="AI47" s="2536"/>
      <c r="AJ47" s="2536"/>
      <c r="AK47" s="2536"/>
      <c r="AL47" s="2537"/>
      <c r="AM47" s="1308"/>
      <c r="AO47" s="436"/>
      <c r="AP47" s="436" t="str">
        <f t="shared" si="1"/>
        <v/>
      </c>
      <c r="AQ47" s="436"/>
      <c r="AR47" s="436"/>
      <c r="AS47" s="447">
        <v>0</v>
      </c>
    </row>
    <row r="48" spans="1:45" ht="21.95" customHeight="1">
      <c r="A48" s="1286" t="s">
        <v>201</v>
      </c>
      <c r="B48" s="1286" t="s">
        <v>202</v>
      </c>
      <c r="C48" s="1286" t="s">
        <v>203</v>
      </c>
      <c r="D48" s="1286" t="s">
        <v>204</v>
      </c>
      <c r="E48" s="2507"/>
      <c r="F48" s="2507"/>
      <c r="G48" s="2507"/>
      <c r="H48" s="2507"/>
      <c r="I48" s="2527"/>
      <c r="J48" s="2504" t="str">
        <f>S46&amp;".1"</f>
        <v>....1</v>
      </c>
      <c r="K48" s="1286"/>
      <c r="L48" s="1287" t="s">
        <v>425</v>
      </c>
      <c r="P48" s="2505"/>
      <c r="Q48" s="2505">
        <v>1</v>
      </c>
      <c r="R48" s="293"/>
      <c r="S48" s="1259" t="str">
        <f>$J48</f>
        <v>....1</v>
      </c>
      <c r="T48" s="223" t="s">
        <v>426</v>
      </c>
      <c r="U48" s="237"/>
      <c r="V48" s="2495"/>
      <c r="W48" s="2496"/>
      <c r="X48" s="2496"/>
      <c r="Y48" s="2496"/>
      <c r="Z48" s="2496"/>
      <c r="AA48" s="2496"/>
      <c r="AB48" s="2496"/>
      <c r="AC48" s="2497"/>
      <c r="AD48" s="2495"/>
      <c r="AE48" s="2496"/>
      <c r="AF48" s="2496"/>
      <c r="AG48" s="2496"/>
      <c r="AH48" s="2496"/>
      <c r="AI48" s="2496"/>
      <c r="AJ48" s="2496"/>
      <c r="AK48" s="2496"/>
      <c r="AL48" s="2497"/>
      <c r="AM48" s="1181" t="s">
        <v>427</v>
      </c>
      <c r="AO48" s="436"/>
      <c r="AP48" s="436" t="str">
        <f t="shared" si="1"/>
        <v>Группа потребителей</v>
      </c>
      <c r="AQ48" s="436"/>
      <c r="AR48" s="436"/>
      <c r="AS48" s="1078">
        <v>21</v>
      </c>
    </row>
    <row r="49" spans="1:45" ht="21.95" customHeight="1">
      <c r="A49" s="1286" t="s">
        <v>201</v>
      </c>
      <c r="B49" s="1286" t="s">
        <v>202</v>
      </c>
      <c r="C49" s="1286" t="s">
        <v>203</v>
      </c>
      <c r="D49" s="1286" t="s">
        <v>204</v>
      </c>
      <c r="E49" s="2507"/>
      <c r="F49" s="2507"/>
      <c r="G49" s="2507"/>
      <c r="H49" s="2507"/>
      <c r="I49" s="2527"/>
      <c r="J49" s="2527"/>
      <c r="K49" s="2504" t="str">
        <f>J48&amp;".1"</f>
        <v>....1.1</v>
      </c>
      <c r="L49" s="1287" t="s">
        <v>428</v>
      </c>
      <c r="P49" s="2505"/>
      <c r="Q49" s="2505"/>
      <c r="R49" s="293">
        <v>1</v>
      </c>
      <c r="S49" s="1259" t="str">
        <f>$K49</f>
        <v>....1.1</v>
      </c>
      <c r="T49" s="1270"/>
      <c r="U49" s="237"/>
      <c r="V49" s="686"/>
      <c r="W49" s="262"/>
      <c r="X49" s="686"/>
      <c r="Y49" s="1180"/>
      <c r="Z49" s="2509"/>
      <c r="AA49" s="2360" t="s">
        <v>63</v>
      </c>
      <c r="AB49" s="2509"/>
      <c r="AC49" s="2360" t="s">
        <v>63</v>
      </c>
      <c r="AD49" s="686"/>
      <c r="AE49" s="262"/>
      <c r="AF49" s="686"/>
      <c r="AG49" s="1180"/>
      <c r="AH49" s="2509"/>
      <c r="AI49" s="2360" t="s">
        <v>63</v>
      </c>
      <c r="AJ49" s="2528"/>
      <c r="AK49" s="2360" t="s">
        <v>63</v>
      </c>
      <c r="AL49" s="1271"/>
      <c r="AM49" s="2501" t="s">
        <v>466</v>
      </c>
      <c r="AN49" s="447" t="e">
        <f ca="1">STRCHECKDATE(V50:AL50)</f>
        <v>#NAME?</v>
      </c>
      <c r="AO49" s="436"/>
      <c r="AP49" s="436" t="str">
        <f t="shared" si="1"/>
        <v/>
      </c>
      <c r="AQ49" s="436"/>
      <c r="AR49" s="436"/>
      <c r="AS49" s="1078">
        <v>21</v>
      </c>
    </row>
    <row r="50" spans="1:45" ht="1.1499999999999999" customHeight="1">
      <c r="A50" s="1286" t="s">
        <v>201</v>
      </c>
      <c r="B50" s="1286" t="s">
        <v>202</v>
      </c>
      <c r="C50" s="1286" t="s">
        <v>203</v>
      </c>
      <c r="D50" s="1286" t="s">
        <v>204</v>
      </c>
      <c r="E50" s="2507"/>
      <c r="F50" s="2507"/>
      <c r="G50" s="2507"/>
      <c r="H50" s="2507"/>
      <c r="I50" s="2527"/>
      <c r="J50" s="2527"/>
      <c r="K50" s="2504"/>
      <c r="L50" s="1287"/>
      <c r="P50" s="2505"/>
      <c r="Q50" s="2505"/>
      <c r="R50" s="293"/>
      <c r="S50" s="1265"/>
      <c r="T50" s="237"/>
      <c r="U50" s="237"/>
      <c r="V50" s="262"/>
      <c r="W50" s="262"/>
      <c r="X50" s="262"/>
      <c r="Y50" s="265" t="str">
        <f>Z49&amp;"-"&amp;AB49</f>
        <v>-</v>
      </c>
      <c r="Z50" s="2510"/>
      <c r="AA50" s="2360"/>
      <c r="AB50" s="2510"/>
      <c r="AC50" s="2360"/>
      <c r="AD50" s="262"/>
      <c r="AE50" s="262"/>
      <c r="AF50" s="262"/>
      <c r="AG50" s="265" t="str">
        <f>AH49&amp;"-"&amp;AJ49</f>
        <v>-</v>
      </c>
      <c r="AH50" s="2510"/>
      <c r="AI50" s="2360"/>
      <c r="AJ50" s="2529"/>
      <c r="AK50" s="2360"/>
      <c r="AL50" s="1272"/>
      <c r="AM50" s="2502"/>
      <c r="AO50" s="436"/>
      <c r="AP50" s="436" t="str">
        <f t="shared" si="1"/>
        <v/>
      </c>
      <c r="AQ50" s="436"/>
      <c r="AR50" s="436"/>
      <c r="AS50" s="1078">
        <v>1</v>
      </c>
    </row>
    <row r="51" spans="1:45" ht="11.45" customHeight="1">
      <c r="A51" s="1286" t="s">
        <v>201</v>
      </c>
      <c r="B51" s="1286" t="s">
        <v>202</v>
      </c>
      <c r="C51" s="1286" t="s">
        <v>203</v>
      </c>
      <c r="D51" s="1286" t="s">
        <v>204</v>
      </c>
      <c r="E51" s="2507"/>
      <c r="F51" s="2507"/>
      <c r="G51" s="2507"/>
      <c r="H51" s="2507"/>
      <c r="I51" s="2527"/>
      <c r="J51" s="2504"/>
      <c r="K51" s="1286"/>
      <c r="L51" s="1287"/>
      <c r="P51" s="2505"/>
      <c r="Q51" s="2505"/>
      <c r="R51" s="292"/>
      <c r="S51" s="1201"/>
      <c r="T51" s="224" t="s">
        <v>430</v>
      </c>
      <c r="U51" s="303"/>
      <c r="V51" s="303"/>
      <c r="W51" s="303"/>
      <c r="X51" s="303"/>
      <c r="Y51" s="303"/>
      <c r="Z51" s="303"/>
      <c r="AA51" s="303"/>
      <c r="AB51" s="303"/>
      <c r="AC51" s="303"/>
      <c r="AD51" s="303"/>
      <c r="AE51" s="303"/>
      <c r="AF51" s="303"/>
      <c r="AG51" s="303"/>
      <c r="AH51" s="303"/>
      <c r="AI51" s="303"/>
      <c r="AJ51" s="303"/>
      <c r="AK51" s="303"/>
      <c r="AL51" s="261"/>
      <c r="AM51" s="2503"/>
      <c r="AO51" s="436"/>
      <c r="AP51" s="436" t="str">
        <f t="shared" si="1"/>
        <v>Добавить вид теплоносителя (параметры теплоносителя)</v>
      </c>
      <c r="AQ51" s="436"/>
      <c r="AR51" s="436"/>
      <c r="AS51" s="1078">
        <v>11</v>
      </c>
    </row>
    <row r="52" spans="1:45" ht="11.45" customHeight="1">
      <c r="A52" s="1286" t="s">
        <v>201</v>
      </c>
      <c r="B52" s="1286" t="s">
        <v>202</v>
      </c>
      <c r="C52" s="1286" t="s">
        <v>203</v>
      </c>
      <c r="D52" s="1286" t="s">
        <v>204</v>
      </c>
      <c r="E52" s="2507"/>
      <c r="F52" s="2507"/>
      <c r="G52" s="2507"/>
      <c r="H52" s="2507"/>
      <c r="I52" s="2504"/>
      <c r="J52" s="1286"/>
      <c r="K52" s="1286"/>
      <c r="L52" s="1287"/>
      <c r="P52" s="2505"/>
      <c r="Q52" s="1254"/>
      <c r="R52" s="292"/>
      <c r="S52" s="1201"/>
      <c r="T52" s="301" t="s">
        <v>431</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8">
        <v>11</v>
      </c>
    </row>
    <row r="53" spans="1:45" ht="0" hidden="1" customHeight="1">
      <c r="A53" s="1286" t="s">
        <v>201</v>
      </c>
      <c r="B53" s="1286" t="s">
        <v>202</v>
      </c>
      <c r="C53" s="1286" t="s">
        <v>203</v>
      </c>
      <c r="D53" s="1286" t="s">
        <v>204</v>
      </c>
      <c r="E53" s="2507"/>
      <c r="F53" s="2507"/>
      <c r="G53" s="2507"/>
      <c r="H53" s="2506"/>
      <c r="I53" s="1286"/>
      <c r="J53" s="1286"/>
      <c r="K53" s="1286"/>
      <c r="L53" s="1287"/>
      <c r="M53" s="1288"/>
      <c r="N53" s="1288"/>
      <c r="O53" s="473"/>
      <c r="P53" s="296"/>
      <c r="Q53" s="311"/>
      <c r="R53" s="291"/>
      <c r="S53" s="1309"/>
      <c r="T53" s="1310"/>
      <c r="U53" s="1311"/>
      <c r="V53" s="1311"/>
      <c r="W53" s="1311"/>
      <c r="X53" s="1311"/>
      <c r="Y53" s="1311"/>
      <c r="Z53" s="1311"/>
      <c r="AA53" s="1311"/>
      <c r="AB53" s="1311"/>
      <c r="AC53" s="1311"/>
      <c r="AD53" s="1311"/>
      <c r="AE53" s="1311"/>
      <c r="AF53" s="1311"/>
      <c r="AG53" s="1311"/>
      <c r="AH53" s="1311"/>
      <c r="AI53" s="1311"/>
      <c r="AJ53" s="1311"/>
      <c r="AK53" s="1311"/>
      <c r="AL53" s="1311"/>
      <c r="AM53" s="1312"/>
      <c r="AO53" s="436"/>
      <c r="AP53" s="436" t="str">
        <f t="shared" si="1"/>
        <v/>
      </c>
      <c r="AQ53" s="436"/>
      <c r="AR53" s="436"/>
      <c r="AS53" s="1078">
        <v>0</v>
      </c>
    </row>
    <row r="54" spans="1:45" s="1565" customFormat="1" ht="1.1499999999999999" customHeight="1">
      <c r="A54" s="1266" t="s">
        <v>201</v>
      </c>
      <c r="B54" s="1266" t="s">
        <v>202</v>
      </c>
      <c r="C54" s="1266" t="s">
        <v>203</v>
      </c>
      <c r="D54" s="1237"/>
      <c r="E54" s="2507"/>
      <c r="F54" s="2507"/>
      <c r="G54" s="2506"/>
      <c r="H54" s="1237"/>
      <c r="I54" s="1237"/>
      <c r="J54" s="1237"/>
      <c r="K54" s="1237"/>
      <c r="L54" s="1262"/>
      <c r="M54" s="1238"/>
      <c r="N54" s="1238"/>
      <c r="P54" s="1239"/>
      <c r="Q54" s="1240"/>
      <c r="R54" s="1239"/>
      <c r="S54" s="1245"/>
      <c r="T54" s="1248" t="s">
        <v>433</v>
      </c>
      <c r="U54" s="1247"/>
      <c r="V54" s="1247"/>
      <c r="W54" s="1247"/>
      <c r="X54" s="1247"/>
      <c r="Y54" s="1247"/>
      <c r="Z54" s="1247"/>
      <c r="AA54" s="1247"/>
      <c r="AB54" s="1247"/>
      <c r="AC54" s="1247"/>
      <c r="AD54" s="1247"/>
      <c r="AE54" s="1247"/>
      <c r="AF54" s="1247"/>
      <c r="AG54" s="1247"/>
      <c r="AH54" s="1247"/>
      <c r="AI54" s="1247"/>
      <c r="AJ54" s="1247"/>
      <c r="AK54" s="1247"/>
      <c r="AL54" s="1247"/>
      <c r="AM54" s="1247"/>
      <c r="AO54" s="718"/>
      <c r="AP54" s="718" t="str">
        <f t="shared" si="1"/>
        <v>Добавить источник для дифференциации</v>
      </c>
      <c r="AQ54" s="718"/>
      <c r="AR54" s="718"/>
      <c r="AS54" s="454">
        <v>1</v>
      </c>
    </row>
    <row r="55" spans="1:45" s="1565" customFormat="1" ht="1.1499999999999999" customHeight="1">
      <c r="A55" s="1266" t="s">
        <v>201</v>
      </c>
      <c r="B55" s="1266" t="s">
        <v>202</v>
      </c>
      <c r="C55" s="1237"/>
      <c r="D55" s="1237"/>
      <c r="E55" s="2507"/>
      <c r="F55" s="2506"/>
      <c r="G55" s="1237"/>
      <c r="H55" s="1237"/>
      <c r="I55" s="1237"/>
      <c r="J55" s="1237"/>
      <c r="K55" s="1237"/>
      <c r="L55" s="1262"/>
      <c r="M55" s="1244"/>
      <c r="N55" s="1244"/>
      <c r="P55" s="1239"/>
      <c r="Q55" s="1240"/>
      <c r="R55" s="1239"/>
      <c r="S55" s="1245"/>
      <c r="T55" s="1248" t="s">
        <v>434</v>
      </c>
      <c r="U55" s="1247"/>
      <c r="V55" s="1247"/>
      <c r="W55" s="1247"/>
      <c r="X55" s="1247"/>
      <c r="Y55" s="1247"/>
      <c r="Z55" s="1247"/>
      <c r="AA55" s="1247"/>
      <c r="AB55" s="1247"/>
      <c r="AC55" s="1247"/>
      <c r="AD55" s="1247"/>
      <c r="AE55" s="1247"/>
      <c r="AF55" s="1247"/>
      <c r="AG55" s="1247"/>
      <c r="AH55" s="1247"/>
      <c r="AI55" s="1247"/>
      <c r="AJ55" s="1247"/>
      <c r="AK55" s="1247"/>
      <c r="AL55" s="1247"/>
      <c r="AM55" s="1247"/>
      <c r="AO55" s="718"/>
      <c r="AP55" s="718" t="str">
        <f t="shared" si="1"/>
        <v>Добавить централизованную систему для дифференциации</v>
      </c>
      <c r="AQ55" s="718"/>
      <c r="AR55" s="718"/>
      <c r="AS55" s="454">
        <v>1</v>
      </c>
    </row>
    <row r="56" spans="1:45" s="1565" customFormat="1" ht="1.1499999999999999" customHeight="1">
      <c r="A56" s="1266" t="s">
        <v>201</v>
      </c>
      <c r="B56" s="1266"/>
      <c r="C56" s="1266"/>
      <c r="D56" s="1266"/>
      <c r="E56" s="2506"/>
      <c r="F56" s="1266"/>
      <c r="G56" s="1266"/>
      <c r="H56" s="1266"/>
      <c r="I56" s="1266"/>
      <c r="J56" s="1266"/>
      <c r="K56" s="1266"/>
      <c r="L56" s="1269"/>
      <c r="M56" s="1244"/>
      <c r="N56" s="1244"/>
      <c r="O56" s="454"/>
      <c r="P56" s="316"/>
      <c r="Q56" s="1267"/>
      <c r="R56" s="316"/>
      <c r="S56" s="1245"/>
      <c r="T56" s="1248" t="s">
        <v>435</v>
      </c>
      <c r="U56" s="1247"/>
      <c r="V56" s="1247"/>
      <c r="W56" s="1247"/>
      <c r="X56" s="1247"/>
      <c r="Y56" s="1247"/>
      <c r="Z56" s="1247"/>
      <c r="AA56" s="1247"/>
      <c r="AB56" s="1247"/>
      <c r="AC56" s="1247"/>
      <c r="AD56" s="1247"/>
      <c r="AE56" s="1247"/>
      <c r="AF56" s="1247"/>
      <c r="AG56" s="1247"/>
      <c r="AH56" s="1247"/>
      <c r="AI56" s="1247"/>
      <c r="AJ56" s="1247"/>
      <c r="AK56" s="1247"/>
      <c r="AL56" s="1247"/>
      <c r="AM56" s="1247"/>
      <c r="AO56" s="436"/>
      <c r="AP56" s="436" t="str">
        <f t="shared" si="1"/>
        <v>Добавить территорию для дифференциации</v>
      </c>
      <c r="AQ56" s="436"/>
      <c r="AR56" s="436"/>
      <c r="AS56" s="447">
        <v>1</v>
      </c>
    </row>
    <row r="57" spans="1:45" s="1565" customFormat="1" ht="1.1499999999999999" customHeight="1">
      <c r="A57" s="1237"/>
      <c r="B57" s="1237"/>
      <c r="C57" s="1237"/>
      <c r="D57" s="1237"/>
      <c r="E57" s="1266"/>
      <c r="F57" s="1237"/>
      <c r="G57" s="1237"/>
      <c r="H57" s="1237"/>
      <c r="I57" s="1237"/>
      <c r="J57" s="1237"/>
      <c r="K57" s="1237"/>
      <c r="L57" s="1262"/>
      <c r="M57" s="1244"/>
      <c r="N57" s="1244"/>
      <c r="P57" s="1239"/>
      <c r="Q57" s="1240"/>
      <c r="R57" s="1239"/>
      <c r="S57" s="1245"/>
      <c r="T57" s="1248" t="s">
        <v>463</v>
      </c>
      <c r="U57" s="1247"/>
      <c r="V57" s="1247"/>
      <c r="W57" s="1247"/>
      <c r="X57" s="1247"/>
      <c r="Y57" s="1247"/>
      <c r="Z57" s="1247"/>
      <c r="AA57" s="1247"/>
      <c r="AB57" s="1247"/>
      <c r="AC57" s="1247"/>
      <c r="AD57" s="1247"/>
      <c r="AE57" s="1247"/>
      <c r="AF57" s="1247"/>
      <c r="AG57" s="1247"/>
      <c r="AH57" s="1247"/>
      <c r="AI57" s="1247"/>
      <c r="AJ57" s="1247"/>
      <c r="AK57" s="1247"/>
      <c r="AL57" s="1247"/>
      <c r="AM57" s="1247"/>
      <c r="AO57" s="718"/>
      <c r="AP57" s="718" t="str">
        <f t="shared" si="1"/>
        <v>Добавить наименование тарифа</v>
      </c>
      <c r="AQ57" s="718"/>
      <c r="AR57" s="718"/>
      <c r="AS57" s="454">
        <v>1</v>
      </c>
    </row>
    <row r="58" spans="1:45" ht="11.45" customHeight="1">
      <c r="M58" s="1083"/>
      <c r="N58" s="1083"/>
      <c r="O58" s="473"/>
      <c r="P58" s="1078"/>
      <c r="Q58" s="1078"/>
      <c r="R58" s="1078"/>
      <c r="S58" s="1078"/>
      <c r="AN58" s="1078"/>
      <c r="AO58" s="1078"/>
      <c r="AP58" s="1078"/>
      <c r="AQ58" s="1078"/>
      <c r="AR58" s="1078"/>
      <c r="AS58" s="1078">
        <v>11</v>
      </c>
    </row>
    <row r="59" spans="1:45" ht="23.25" customHeight="1">
      <c r="O59" s="473"/>
      <c r="S59" s="1176"/>
      <c r="T59" s="2526"/>
      <c r="U59" s="2526"/>
      <c r="V59" s="2526"/>
      <c r="W59" s="2526"/>
      <c r="X59" s="2526"/>
      <c r="Y59" s="2526"/>
      <c r="Z59" s="2526"/>
      <c r="AA59" s="2526"/>
      <c r="AB59" s="2526"/>
      <c r="AC59" s="2526"/>
      <c r="AD59" s="2526"/>
      <c r="AE59" s="2526"/>
      <c r="AF59" s="2526"/>
      <c r="AG59" s="2526"/>
      <c r="AH59" s="2526"/>
      <c r="AI59" s="2526"/>
      <c r="AJ59" s="2526"/>
      <c r="AK59" s="2526"/>
      <c r="AL59" s="2526"/>
      <c r="AM59" s="2526"/>
      <c r="AS59" s="1078">
        <v>22</v>
      </c>
    </row>
    <row r="60" spans="1:45" ht="30.4" customHeight="1">
      <c r="O60" s="473"/>
      <c r="T60" s="2526"/>
      <c r="U60" s="2526"/>
      <c r="V60" s="2526"/>
      <c r="W60" s="2526"/>
      <c r="X60" s="2526"/>
      <c r="Y60" s="2526"/>
      <c r="Z60" s="2526"/>
      <c r="AA60" s="2526"/>
      <c r="AB60" s="2526"/>
      <c r="AC60" s="2526"/>
      <c r="AD60" s="2526"/>
      <c r="AE60" s="2526"/>
      <c r="AF60" s="2526"/>
      <c r="AG60" s="2526"/>
      <c r="AH60" s="2526"/>
      <c r="AI60" s="2526"/>
      <c r="AJ60" s="2526"/>
      <c r="AK60" s="2526"/>
      <c r="AL60" s="2526"/>
      <c r="AM60" s="2526"/>
      <c r="AS60" s="1078">
        <v>29</v>
      </c>
    </row>
    <row r="61" spans="1:45" ht="42" customHeight="1">
      <c r="O61" s="473"/>
      <c r="T61" s="2526"/>
      <c r="U61" s="2526"/>
      <c r="V61" s="2526"/>
      <c r="W61" s="2526"/>
      <c r="X61" s="2526"/>
      <c r="Y61" s="2526"/>
      <c r="Z61" s="2526"/>
      <c r="AA61" s="2526"/>
      <c r="AB61" s="2526"/>
      <c r="AC61" s="2526"/>
      <c r="AD61" s="2526"/>
      <c r="AE61" s="2526"/>
      <c r="AF61" s="2526"/>
      <c r="AG61" s="2526"/>
      <c r="AH61" s="2526"/>
      <c r="AI61" s="2526"/>
      <c r="AJ61" s="2526"/>
      <c r="AK61" s="2526"/>
      <c r="AL61" s="2526"/>
      <c r="AM61" s="2526"/>
      <c r="AS61" s="1078">
        <v>40</v>
      </c>
    </row>
    <row r="62" spans="1:45" ht="14.65" customHeight="1">
      <c r="O62" s="473"/>
      <c r="AS62" s="1078">
        <v>14</v>
      </c>
    </row>
    <row r="63" spans="1:45" ht="21" customHeight="1">
      <c r="O63" s="473"/>
      <c r="S63" s="1176"/>
      <c r="T63" s="2434"/>
      <c r="U63" s="2526"/>
      <c r="V63" s="2526"/>
      <c r="W63" s="2526"/>
      <c r="X63" s="2526"/>
      <c r="Y63" s="2526"/>
      <c r="Z63" s="2526"/>
      <c r="AA63" s="2526"/>
      <c r="AB63" s="2526"/>
      <c r="AC63" s="2526"/>
      <c r="AD63" s="2526"/>
      <c r="AE63" s="2526"/>
      <c r="AF63" s="2526"/>
      <c r="AG63" s="2526"/>
      <c r="AH63" s="2526"/>
      <c r="AI63" s="2526"/>
      <c r="AJ63" s="2526"/>
      <c r="AK63" s="2526"/>
      <c r="AL63" s="2526"/>
      <c r="AM63" s="2526"/>
      <c r="AS63" s="1078">
        <v>20</v>
      </c>
    </row>
    <row r="64" spans="1:45" ht="29.25" customHeight="1">
      <c r="O64" s="473"/>
      <c r="T64" s="2526"/>
      <c r="U64" s="2526"/>
      <c r="V64" s="2526"/>
      <c r="W64" s="2526"/>
      <c r="X64" s="2526"/>
      <c r="Y64" s="2526"/>
      <c r="Z64" s="2526"/>
      <c r="AA64" s="2526"/>
      <c r="AB64" s="2526"/>
      <c r="AC64" s="2526"/>
      <c r="AD64" s="2526"/>
      <c r="AE64" s="2526"/>
      <c r="AF64" s="2526"/>
      <c r="AG64" s="2526"/>
      <c r="AH64" s="2526"/>
      <c r="AI64" s="2526"/>
      <c r="AJ64" s="2526"/>
      <c r="AK64" s="2526"/>
      <c r="AL64" s="2526"/>
      <c r="AM64" s="2526"/>
      <c r="AS64" s="1078">
        <v>28</v>
      </c>
    </row>
    <row r="65" spans="1:45" ht="35.65" customHeight="1">
      <c r="T65" s="2526"/>
      <c r="U65" s="2526"/>
      <c r="V65" s="2526"/>
      <c r="W65" s="2526"/>
      <c r="X65" s="2526"/>
      <c r="Y65" s="2526"/>
      <c r="Z65" s="2526"/>
      <c r="AA65" s="2526"/>
      <c r="AB65" s="2526"/>
      <c r="AC65" s="2526"/>
      <c r="AD65" s="2526"/>
      <c r="AE65" s="2526"/>
      <c r="AF65" s="2526"/>
      <c r="AG65" s="2526"/>
      <c r="AH65" s="2526"/>
      <c r="AI65" s="2526"/>
      <c r="AJ65" s="2526"/>
      <c r="AK65" s="2526"/>
      <c r="AL65" s="2526"/>
      <c r="AM65" s="2526"/>
      <c r="AS65" s="1078">
        <v>34</v>
      </c>
    </row>
    <row r="66" spans="1:45" ht="22.5" hidden="1" customHeight="1">
      <c r="A66" s="1083" t="s">
        <v>83</v>
      </c>
      <c r="B66" s="1083">
        <v>0</v>
      </c>
      <c r="C66" s="1083">
        <v>0</v>
      </c>
      <c r="D66" s="1083">
        <v>0</v>
      </c>
      <c r="E66" s="1083">
        <v>0</v>
      </c>
      <c r="F66" s="1083">
        <v>0</v>
      </c>
      <c r="G66" s="1083">
        <v>0</v>
      </c>
      <c r="H66" s="1083">
        <v>0</v>
      </c>
      <c r="I66" s="1083">
        <v>0</v>
      </c>
      <c r="J66" s="1083">
        <v>0</v>
      </c>
      <c r="K66" s="1083">
        <v>0</v>
      </c>
      <c r="L66" s="1252">
        <v>0</v>
      </c>
      <c r="M66" s="1285">
        <v>0</v>
      </c>
      <c r="N66" s="1285">
        <v>0</v>
      </c>
      <c r="O66" s="1285">
        <v>0</v>
      </c>
      <c r="P66" s="1251">
        <v>0</v>
      </c>
      <c r="Q66" s="281">
        <v>3</v>
      </c>
      <c r="R66" s="281">
        <v>3</v>
      </c>
      <c r="S66" s="517">
        <v>12</v>
      </c>
      <c r="T66" s="1078">
        <v>31</v>
      </c>
      <c r="U66" s="1078">
        <v>0</v>
      </c>
      <c r="V66" s="1078">
        <v>0</v>
      </c>
      <c r="W66" s="1078">
        <v>0</v>
      </c>
      <c r="X66" s="1078">
        <v>0</v>
      </c>
      <c r="Y66" s="1078">
        <v>0</v>
      </c>
      <c r="Z66" s="1078">
        <v>0</v>
      </c>
      <c r="AA66" s="1078">
        <v>0</v>
      </c>
      <c r="AB66" s="1078">
        <v>0</v>
      </c>
      <c r="AC66" s="1078">
        <v>0</v>
      </c>
      <c r="AD66" s="1078">
        <v>24</v>
      </c>
      <c r="AE66" s="1078">
        <v>0</v>
      </c>
      <c r="AF66" s="1078">
        <v>24</v>
      </c>
      <c r="AG66" s="1078">
        <v>24</v>
      </c>
      <c r="AH66" s="1078">
        <v>11</v>
      </c>
      <c r="AI66" s="1078">
        <v>3</v>
      </c>
      <c r="AJ66" s="1078">
        <v>11</v>
      </c>
      <c r="AK66" s="1078">
        <v>0</v>
      </c>
      <c r="AL66" s="1078">
        <v>4</v>
      </c>
      <c r="AM66" s="1078">
        <v>115</v>
      </c>
      <c r="AN66" s="447">
        <v>10</v>
      </c>
      <c r="AO66" s="447">
        <v>10</v>
      </c>
      <c r="AP66" s="447">
        <v>10</v>
      </c>
      <c r="AQ66" s="447">
        <v>10</v>
      </c>
      <c r="AR66" s="447">
        <v>10</v>
      </c>
      <c r="AS66" s="1078">
        <v>23</v>
      </c>
    </row>
  </sheetData>
  <sheetProtection formatColumns="0" formatRows="0" insertRows="0" deleteColumns="0" deleteRows="0" sort="0" autoFilter="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2" style="1289" hidden="1" customWidth="1"/>
    <col min="10" max="10" width="9.85546875" style="1289" hidden="1" customWidth="1"/>
    <col min="11" max="11" width="11.42578125" style="1289" hidden="1" customWidth="1"/>
    <col min="12" max="12" width="19.140625" style="2043" hidden="1" customWidth="1"/>
    <col min="13" max="14" width="12.28515625" style="1696" hidden="1" customWidth="1"/>
    <col min="15" max="15" width="23.42578125" style="1696" hidden="1" customWidth="1"/>
    <col min="16" max="16" width="3.7109375" style="2032" hidden="1" customWidth="1"/>
    <col min="17" max="18" width="3" style="281" customWidth="1"/>
    <col min="19" max="19" width="12" style="2033" customWidth="1"/>
    <col min="20" max="20" width="31" style="1558" customWidth="1"/>
    <col min="21" max="21" width="0.140625" style="1558" customWidth="1"/>
    <col min="22" max="22" width="24.7109375" style="1558" hidden="1" customWidth="1"/>
    <col min="23" max="23" width="0.140625" style="1558" hidden="1" customWidth="1"/>
    <col min="24" max="25" width="24.7109375" style="1558" hidden="1" customWidth="1"/>
    <col min="26" max="26" width="11.7109375" style="1558" hidden="1" customWidth="1"/>
    <col min="27" max="27" width="3.7109375" style="1558" hidden="1" customWidth="1"/>
    <col min="28" max="28" width="11.7109375" style="1558" hidden="1" customWidth="1"/>
    <col min="29" max="29" width="8.5703125" style="1558" hidden="1" customWidth="1"/>
    <col min="30" max="30" width="24.7109375" style="1558" customWidth="1"/>
    <col min="31" max="31" width="0.140625" style="1558" customWidth="1"/>
    <col min="32" max="33" width="24" style="1558" customWidth="1"/>
    <col min="34" max="34" width="11" style="1558" customWidth="1"/>
    <col min="35" max="35" width="3.7109375" style="1558" customWidth="1"/>
    <col min="36" max="36" width="11" style="1558" customWidth="1"/>
    <col min="37" max="37" width="8.5703125" style="1558" hidden="1" customWidth="1"/>
    <col min="38" max="38" width="4" style="1558" customWidth="1"/>
    <col min="39" max="39" width="115" style="1558" customWidth="1"/>
    <col min="40" max="44" width="10" style="1565" customWidth="1"/>
    <col min="45" max="45" width="10.5703125" style="1558" hidden="1"/>
  </cols>
  <sheetData>
    <row r="1" spans="1:45" ht="22.5" hidden="1" customHeight="1">
      <c r="Y1" s="264"/>
      <c r="Z1" s="264"/>
      <c r="AG1" s="264"/>
      <c r="AH1" s="264"/>
      <c r="AS1" s="1078" t="s">
        <v>14</v>
      </c>
    </row>
    <row r="2" spans="1:45" ht="21" hidden="1" customHeight="1">
      <c r="A2" s="1286"/>
      <c r="B2" s="1286"/>
      <c r="C2" s="1286"/>
      <c r="D2" s="1286"/>
      <c r="E2" s="2506">
        <v>1</v>
      </c>
      <c r="F2" s="1286"/>
      <c r="G2" s="1286"/>
      <c r="H2" s="1286"/>
      <c r="I2" s="1286"/>
      <c r="J2" s="1286"/>
      <c r="K2" s="1286"/>
      <c r="L2" s="1287"/>
      <c r="M2" s="1288"/>
      <c r="N2" s="1288"/>
      <c r="O2" s="1288"/>
      <c r="P2" s="297"/>
      <c r="Q2" s="296"/>
      <c r="R2" s="291"/>
      <c r="S2" s="1259" t="e">
        <f>INDEX(PT_DIFFERENTIATION_NUM_NTAR,MATCH(A2,PT_DIFFERENTIATION_NTAR_ID,0))</f>
        <v>#N/A</v>
      </c>
      <c r="T2" s="235" t="s">
        <v>144</v>
      </c>
      <c r="U2" s="237"/>
      <c r="V2" s="2492"/>
      <c r="W2" s="2493"/>
      <c r="X2" s="2493"/>
      <c r="Y2" s="2493"/>
      <c r="Z2" s="2493"/>
      <c r="AA2" s="2493"/>
      <c r="AB2" s="2493"/>
      <c r="AC2" s="2494"/>
      <c r="AD2" s="2492" t="e">
        <f>INDEX(PT_DIFFERENTIATION_NTAR,MATCH(A2,PT_DIFFERENTIATION_NTAR_ID,0))</f>
        <v>#N/A</v>
      </c>
      <c r="AE2" s="2493"/>
      <c r="AF2" s="2493"/>
      <c r="AG2" s="2493"/>
      <c r="AH2" s="2493"/>
      <c r="AI2" s="2493"/>
      <c r="AJ2" s="2493"/>
      <c r="AK2" s="2493"/>
      <c r="AL2" s="2494"/>
      <c r="AM2" s="1181" t="s">
        <v>415</v>
      </c>
      <c r="AO2" s="436"/>
      <c r="AP2" s="436" t="str">
        <f t="shared" ref="AP2:AP15" si="0">IF(T2="","",T2)</f>
        <v>Наименование тарифа</v>
      </c>
      <c r="AQ2" s="436"/>
      <c r="AR2" s="436"/>
      <c r="AS2" s="1078">
        <v>0</v>
      </c>
    </row>
    <row r="3" spans="1:45" ht="21" hidden="1" customHeight="1">
      <c r="A3" s="1286"/>
      <c r="B3" s="1286"/>
      <c r="C3" s="1286"/>
      <c r="D3" s="1286"/>
      <c r="E3" s="2507"/>
      <c r="F3" s="2506">
        <v>1</v>
      </c>
      <c r="G3" s="1286"/>
      <c r="H3" s="1286"/>
      <c r="I3" s="1286"/>
      <c r="J3" s="1286"/>
      <c r="K3" s="1286"/>
      <c r="L3" s="1287"/>
      <c r="M3" s="1288"/>
      <c r="N3" s="1288"/>
      <c r="O3" s="1288"/>
      <c r="P3" s="1255"/>
      <c r="Q3" s="288"/>
      <c r="R3" s="289"/>
      <c r="S3" s="1259" t="e">
        <f>INDEX(PT_DIFFERENTIATION_NUM_TER,MATCH(B3,PT_DIFFERENTIATION_TER_ID,0))</f>
        <v>#N/A</v>
      </c>
      <c r="T3" s="245" t="s">
        <v>416</v>
      </c>
      <c r="U3" s="237"/>
      <c r="V3" s="2492"/>
      <c r="W3" s="2493"/>
      <c r="X3" s="2493"/>
      <c r="Y3" s="2493"/>
      <c r="Z3" s="2493"/>
      <c r="AA3" s="2493"/>
      <c r="AB3" s="2493"/>
      <c r="AC3" s="2494"/>
      <c r="AD3" s="2492" t="e">
        <f>INDEX(PT_DIFFERENTIATION_TER,MATCH(B3,PT_DIFFERENTIATION_TER_ID,0))</f>
        <v>#N/A</v>
      </c>
      <c r="AE3" s="2493"/>
      <c r="AF3" s="2493"/>
      <c r="AG3" s="2493"/>
      <c r="AH3" s="2493"/>
      <c r="AI3" s="2493"/>
      <c r="AJ3" s="2493"/>
      <c r="AK3" s="2493"/>
      <c r="AL3" s="2494"/>
      <c r="AM3" s="1181" t="s">
        <v>417</v>
      </c>
      <c r="AO3" s="436"/>
      <c r="AP3" s="436" t="str">
        <f t="shared" si="0"/>
        <v>Территория действия тарифа</v>
      </c>
      <c r="AQ3" s="436"/>
      <c r="AR3" s="436"/>
      <c r="AS3" s="1078">
        <v>0</v>
      </c>
    </row>
    <row r="4" spans="1:45" ht="23.25" hidden="1" customHeight="1">
      <c r="A4" s="1286"/>
      <c r="B4" s="1286"/>
      <c r="C4" s="1286"/>
      <c r="D4" s="1286"/>
      <c r="E4" s="2507"/>
      <c r="F4" s="2507"/>
      <c r="G4" s="2506">
        <v>1</v>
      </c>
      <c r="H4" s="1286"/>
      <c r="I4" s="1286"/>
      <c r="J4" s="1286"/>
      <c r="K4" s="1286"/>
      <c r="L4" s="1287"/>
      <c r="M4" s="1288"/>
      <c r="N4" s="1288"/>
      <c r="O4" s="1288"/>
      <c r="P4" s="290"/>
      <c r="Q4" s="288"/>
      <c r="R4" s="289"/>
      <c r="S4" s="1259" t="e">
        <f>INDEX(PT_DIFFERENTIATION_NUM_CS,MATCH(C4,PT_DIFFERENTIATION_CS_ID,0))</f>
        <v>#N/A</v>
      </c>
      <c r="T4" s="246" t="s">
        <v>418</v>
      </c>
      <c r="U4" s="237"/>
      <c r="V4" s="2492"/>
      <c r="W4" s="2493"/>
      <c r="X4" s="2493"/>
      <c r="Y4" s="2493"/>
      <c r="Z4" s="2493"/>
      <c r="AA4" s="2493"/>
      <c r="AB4" s="2493"/>
      <c r="AC4" s="2494"/>
      <c r="AD4" s="2492" t="e">
        <f>INDEX(PT_DIFFERENTIATION_CS,MATCH(C4,PT_DIFFERENTIATION_CS_ID,0))</f>
        <v>#N/A</v>
      </c>
      <c r="AE4" s="2493"/>
      <c r="AF4" s="2493"/>
      <c r="AG4" s="2493"/>
      <c r="AH4" s="2493"/>
      <c r="AI4" s="2493"/>
      <c r="AJ4" s="2493"/>
      <c r="AK4" s="2493"/>
      <c r="AL4" s="2494"/>
      <c r="AM4" s="1181" t="s">
        <v>419</v>
      </c>
      <c r="AO4" s="436"/>
      <c r="AP4" s="436" t="str">
        <f t="shared" si="0"/>
        <v xml:space="preserve">Наименование системы теплоснабжения </v>
      </c>
      <c r="AQ4" s="436"/>
      <c r="AR4" s="436"/>
      <c r="AS4" s="1078">
        <v>0</v>
      </c>
    </row>
    <row r="5" spans="1:45" ht="21" hidden="1" customHeight="1">
      <c r="A5" s="1286"/>
      <c r="B5" s="1286"/>
      <c r="C5" s="1286"/>
      <c r="D5" s="1286"/>
      <c r="E5" s="2507"/>
      <c r="F5" s="2507"/>
      <c r="G5" s="2507"/>
      <c r="H5" s="2506">
        <v>1</v>
      </c>
      <c r="I5" s="1286"/>
      <c r="J5" s="1286"/>
      <c r="K5" s="1286"/>
      <c r="L5" s="1287"/>
      <c r="M5" s="1288"/>
      <c r="N5" s="1288"/>
      <c r="O5" s="1288"/>
      <c r="P5" s="290"/>
      <c r="Q5" s="288"/>
      <c r="R5" s="289"/>
      <c r="S5" s="1259" t="e">
        <f>INDEX(PT_DIFFERENTIATION_NUM_IST_TE,MATCH(D5,PT_DIFFERENTIATION_IST_TE_ID,0))</f>
        <v>#N/A</v>
      </c>
      <c r="T5" s="247" t="s">
        <v>420</v>
      </c>
      <c r="U5" s="237"/>
      <c r="V5" s="2492"/>
      <c r="W5" s="2493"/>
      <c r="X5" s="2493"/>
      <c r="Y5" s="2493"/>
      <c r="Z5" s="2493"/>
      <c r="AA5" s="2493"/>
      <c r="AB5" s="2493"/>
      <c r="AC5" s="2494"/>
      <c r="AD5" s="2492" t="e">
        <f>INDEX(PT_DIFFERENTIATION_IST_TE,MATCH(D5,PT_DIFFERENTIATION_IST_TE_ID,0))</f>
        <v>#N/A</v>
      </c>
      <c r="AE5" s="2493"/>
      <c r="AF5" s="2493"/>
      <c r="AG5" s="2493"/>
      <c r="AH5" s="2493"/>
      <c r="AI5" s="2493"/>
      <c r="AJ5" s="2493"/>
      <c r="AK5" s="2493"/>
      <c r="AL5" s="2494"/>
      <c r="AM5" s="1181" t="s">
        <v>421</v>
      </c>
      <c r="AO5" s="436"/>
      <c r="AP5" s="436" t="str">
        <f t="shared" si="0"/>
        <v xml:space="preserve">Источник тепловой энергии  </v>
      </c>
      <c r="AQ5" s="436"/>
      <c r="AR5" s="436"/>
      <c r="AS5" s="1078">
        <v>0</v>
      </c>
    </row>
    <row r="6" spans="1:45" ht="14.25" hidden="1" customHeight="1">
      <c r="A6" s="1286"/>
      <c r="B6" s="1286"/>
      <c r="C6" s="1286"/>
      <c r="D6" s="1286"/>
      <c r="E6" s="2507"/>
      <c r="F6" s="2507"/>
      <c r="G6" s="2507"/>
      <c r="H6" s="2507"/>
      <c r="I6" s="2504" t="e">
        <f>S5&amp;".1"</f>
        <v>#N/A</v>
      </c>
      <c r="J6" s="1286"/>
      <c r="K6" s="1286"/>
      <c r="L6" s="1287" t="s">
        <v>422</v>
      </c>
      <c r="M6" s="473"/>
      <c r="P6" s="2505">
        <v>1</v>
      </c>
      <c r="Q6" s="1254"/>
      <c r="R6" s="292"/>
      <c r="S6" s="969"/>
      <c r="T6" s="1306"/>
      <c r="U6" s="1307"/>
      <c r="V6" s="2535"/>
      <c r="W6" s="2536"/>
      <c r="X6" s="2536"/>
      <c r="Y6" s="2536"/>
      <c r="Z6" s="2536"/>
      <c r="AA6" s="2536"/>
      <c r="AB6" s="2536"/>
      <c r="AC6" s="2537"/>
      <c r="AD6" s="2535"/>
      <c r="AE6" s="2536"/>
      <c r="AF6" s="2536"/>
      <c r="AG6" s="2536"/>
      <c r="AH6" s="2536"/>
      <c r="AI6" s="2536"/>
      <c r="AJ6" s="2536"/>
      <c r="AK6" s="2536"/>
      <c r="AL6" s="2537"/>
      <c r="AM6" s="1308"/>
      <c r="AO6" s="436"/>
      <c r="AP6" s="436" t="str">
        <f t="shared" si="0"/>
        <v/>
      </c>
      <c r="AQ6" s="436"/>
      <c r="AR6" s="436"/>
      <c r="AS6" s="1078">
        <v>0</v>
      </c>
    </row>
    <row r="7" spans="1:45" ht="21" hidden="1" customHeight="1">
      <c r="A7" s="1286"/>
      <c r="B7" s="1286"/>
      <c r="C7" s="1286"/>
      <c r="D7" s="1286"/>
      <c r="E7" s="2507"/>
      <c r="F7" s="2507"/>
      <c r="G7" s="2507"/>
      <c r="H7" s="2507"/>
      <c r="I7" s="2527"/>
      <c r="J7" s="2504" t="e">
        <f>I6&amp;".1"</f>
        <v>#N/A</v>
      </c>
      <c r="K7" s="1286"/>
      <c r="L7" s="1287" t="s">
        <v>425</v>
      </c>
      <c r="M7" s="473"/>
      <c r="N7" s="1289"/>
      <c r="P7" s="2505"/>
      <c r="Q7" s="2505">
        <v>1</v>
      </c>
      <c r="R7" s="293"/>
      <c r="S7" s="1259" t="e">
        <f>$J7</f>
        <v>#N/A</v>
      </c>
      <c r="T7" s="223" t="s">
        <v>426</v>
      </c>
      <c r="U7" s="237"/>
      <c r="V7" s="2495"/>
      <c r="W7" s="2496"/>
      <c r="X7" s="2496"/>
      <c r="Y7" s="2496"/>
      <c r="Z7" s="2496"/>
      <c r="AA7" s="2496"/>
      <c r="AB7" s="2496"/>
      <c r="AC7" s="2497"/>
      <c r="AD7" s="2495"/>
      <c r="AE7" s="2496"/>
      <c r="AF7" s="2496"/>
      <c r="AG7" s="2496"/>
      <c r="AH7" s="2496"/>
      <c r="AI7" s="2496"/>
      <c r="AJ7" s="2496"/>
      <c r="AK7" s="2496"/>
      <c r="AL7" s="2497"/>
      <c r="AM7" s="1181" t="s">
        <v>427</v>
      </c>
      <c r="AO7" s="436"/>
      <c r="AP7" s="436" t="str">
        <f t="shared" si="0"/>
        <v>Группа потребителей</v>
      </c>
      <c r="AQ7" s="436"/>
      <c r="AR7" s="436"/>
      <c r="AS7" s="1078">
        <v>0</v>
      </c>
    </row>
    <row r="8" spans="1:45" ht="21" hidden="1" customHeight="1">
      <c r="A8" s="1286"/>
      <c r="B8" s="1286"/>
      <c r="C8" s="1286"/>
      <c r="D8" s="1286"/>
      <c r="E8" s="2507"/>
      <c r="F8" s="2507"/>
      <c r="G8" s="2507"/>
      <c r="H8" s="2507"/>
      <c r="I8" s="2527"/>
      <c r="J8" s="2527"/>
      <c r="K8" s="2504" t="e">
        <f>J7&amp;".1"</f>
        <v>#N/A</v>
      </c>
      <c r="L8" s="1287" t="s">
        <v>428</v>
      </c>
      <c r="M8" s="473"/>
      <c r="N8" s="1289"/>
      <c r="O8" s="1289"/>
      <c r="P8" s="2505"/>
      <c r="Q8" s="2505"/>
      <c r="R8" s="293">
        <v>1</v>
      </c>
      <c r="S8" s="1259" t="e">
        <f>$K8</f>
        <v>#N/A</v>
      </c>
      <c r="T8" s="1270"/>
      <c r="U8" s="237"/>
      <c r="V8" s="686"/>
      <c r="W8" s="262"/>
      <c r="X8" s="686"/>
      <c r="Y8" s="1180"/>
      <c r="Z8" s="2509"/>
      <c r="AA8" s="2360" t="s">
        <v>63</v>
      </c>
      <c r="AB8" s="2509"/>
      <c r="AC8" s="2360" t="s">
        <v>63</v>
      </c>
      <c r="AD8" s="686"/>
      <c r="AE8" s="262"/>
      <c r="AF8" s="686"/>
      <c r="AG8" s="1180"/>
      <c r="AH8" s="2509"/>
      <c r="AI8" s="2360" t="s">
        <v>63</v>
      </c>
      <c r="AJ8" s="2509"/>
      <c r="AK8" s="2360" t="s">
        <v>63</v>
      </c>
      <c r="AL8" s="262"/>
      <c r="AM8" s="2501" t="s">
        <v>429</v>
      </c>
      <c r="AN8" s="447" t="e">
        <f ca="1">STRCHECKDATE(V9:AL9)</f>
        <v>#NAME?</v>
      </c>
      <c r="AO8" s="436"/>
      <c r="AP8" s="436" t="str">
        <f t="shared" si="0"/>
        <v/>
      </c>
      <c r="AQ8" s="436"/>
      <c r="AR8" s="436"/>
      <c r="AS8" s="1078">
        <v>0</v>
      </c>
    </row>
    <row r="9" spans="1:45" ht="14.25" hidden="1" customHeight="1">
      <c r="A9" s="1286"/>
      <c r="B9" s="1286"/>
      <c r="C9" s="1286"/>
      <c r="D9" s="1286"/>
      <c r="E9" s="2507"/>
      <c r="F9" s="2507"/>
      <c r="G9" s="2507"/>
      <c r="H9" s="2507"/>
      <c r="I9" s="2527"/>
      <c r="J9" s="2527"/>
      <c r="K9" s="2504"/>
      <c r="L9" s="1287"/>
      <c r="M9" s="473"/>
      <c r="N9" s="1289"/>
      <c r="O9" s="1289"/>
      <c r="P9" s="2505"/>
      <c r="Q9" s="2505"/>
      <c r="R9" s="293"/>
      <c r="S9" s="1265"/>
      <c r="T9" s="237"/>
      <c r="U9" s="237"/>
      <c r="V9" s="262"/>
      <c r="W9" s="262"/>
      <c r="X9" s="262"/>
      <c r="Y9" s="265" t="str">
        <f>Z8&amp;"-"&amp;AB8</f>
        <v>-</v>
      </c>
      <c r="Z9" s="2510"/>
      <c r="AA9" s="2360"/>
      <c r="AB9" s="2510"/>
      <c r="AC9" s="2360"/>
      <c r="AD9" s="262"/>
      <c r="AE9" s="262"/>
      <c r="AF9" s="262"/>
      <c r="AG9" s="265" t="str">
        <f>AH8&amp;"-"&amp;AJ8</f>
        <v>-</v>
      </c>
      <c r="AH9" s="2510"/>
      <c r="AI9" s="2360"/>
      <c r="AJ9" s="2510"/>
      <c r="AK9" s="2360"/>
      <c r="AL9" s="262"/>
      <c r="AM9" s="2502"/>
      <c r="AO9" s="436"/>
      <c r="AP9" s="436" t="str">
        <f t="shared" si="0"/>
        <v/>
      </c>
      <c r="AQ9" s="436"/>
      <c r="AR9" s="436"/>
      <c r="AS9" s="1078">
        <v>0</v>
      </c>
    </row>
    <row r="10" spans="1:45" ht="15" hidden="1" customHeight="1">
      <c r="A10" s="1286"/>
      <c r="B10" s="1286"/>
      <c r="C10" s="1286"/>
      <c r="D10" s="1286"/>
      <c r="E10" s="2507"/>
      <c r="F10" s="2507"/>
      <c r="G10" s="2507"/>
      <c r="H10" s="2507"/>
      <c r="I10" s="2527"/>
      <c r="J10" s="2504"/>
      <c r="K10" s="1286"/>
      <c r="L10" s="1287"/>
      <c r="M10" s="473"/>
      <c r="N10" s="1289"/>
      <c r="P10" s="2505"/>
      <c r="Q10" s="2505"/>
      <c r="R10" s="292"/>
      <c r="S10" s="1201"/>
      <c r="T10" s="224" t="s">
        <v>430</v>
      </c>
      <c r="U10" s="303"/>
      <c r="V10" s="303"/>
      <c r="W10" s="303"/>
      <c r="X10" s="303"/>
      <c r="Y10" s="303"/>
      <c r="Z10" s="303"/>
      <c r="AA10" s="303"/>
      <c r="AB10" s="303"/>
      <c r="AC10" s="303"/>
      <c r="AD10" s="303"/>
      <c r="AE10" s="303"/>
      <c r="AF10" s="303"/>
      <c r="AG10" s="303"/>
      <c r="AH10" s="303"/>
      <c r="AI10" s="303"/>
      <c r="AJ10" s="303"/>
      <c r="AK10" s="303"/>
      <c r="AL10" s="261"/>
      <c r="AM10" s="2503"/>
      <c r="AO10" s="436"/>
      <c r="AP10" s="436" t="str">
        <f t="shared" si="0"/>
        <v>Добавить вид теплоносителя (параметры теплоносителя)</v>
      </c>
      <c r="AQ10" s="436"/>
      <c r="AR10" s="436"/>
      <c r="AS10" s="1078">
        <v>0</v>
      </c>
    </row>
    <row r="11" spans="1:45" ht="11.25" hidden="1" customHeight="1">
      <c r="A11" s="1286"/>
      <c r="B11" s="1286"/>
      <c r="C11" s="1286"/>
      <c r="D11" s="1286"/>
      <c r="E11" s="2507"/>
      <c r="F11" s="2507"/>
      <c r="G11" s="2507"/>
      <c r="H11" s="2507"/>
      <c r="I11" s="2504"/>
      <c r="J11" s="1286"/>
      <c r="K11" s="1286"/>
      <c r="L11" s="1287"/>
      <c r="M11" s="473"/>
      <c r="P11" s="2505"/>
      <c r="Q11" s="1254"/>
      <c r="R11" s="292"/>
      <c r="S11" s="1201"/>
      <c r="T11" s="301" t="s">
        <v>431</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8">
        <v>0</v>
      </c>
    </row>
    <row r="12" spans="1:45" ht="14.25" hidden="1" customHeight="1">
      <c r="A12" s="1286"/>
      <c r="B12" s="1286"/>
      <c r="C12" s="1286"/>
      <c r="D12" s="1286"/>
      <c r="E12" s="2507"/>
      <c r="F12" s="2507"/>
      <c r="G12" s="2507"/>
      <c r="H12" s="2506"/>
      <c r="I12" s="1286"/>
      <c r="J12" s="1286"/>
      <c r="K12" s="1286"/>
      <c r="L12" s="1287"/>
      <c r="M12" s="1288"/>
      <c r="N12" s="1288"/>
      <c r="O12" s="473"/>
      <c r="P12" s="296"/>
      <c r="Q12" s="311"/>
      <c r="R12" s="291"/>
      <c r="S12" s="1309"/>
      <c r="T12" s="1310"/>
      <c r="U12" s="1311"/>
      <c r="V12" s="1311"/>
      <c r="W12" s="1311"/>
      <c r="X12" s="1311"/>
      <c r="Y12" s="1311"/>
      <c r="Z12" s="1311"/>
      <c r="AA12" s="1311"/>
      <c r="AB12" s="1311"/>
      <c r="AC12" s="1311"/>
      <c r="AD12" s="1311"/>
      <c r="AE12" s="1311"/>
      <c r="AF12" s="1311"/>
      <c r="AG12" s="1311"/>
      <c r="AH12" s="1311"/>
      <c r="AI12" s="1311"/>
      <c r="AJ12" s="1311"/>
      <c r="AK12" s="1311"/>
      <c r="AL12" s="1311"/>
      <c r="AM12" s="1312"/>
      <c r="AO12" s="436"/>
      <c r="AP12" s="436" t="str">
        <f t="shared" si="0"/>
        <v/>
      </c>
      <c r="AQ12" s="436"/>
      <c r="AR12" s="436"/>
      <c r="AS12" s="1078">
        <v>0</v>
      </c>
    </row>
    <row r="13" spans="1:45" s="1565" customFormat="1" ht="14.25" hidden="1" customHeight="1">
      <c r="A13" s="1237"/>
      <c r="B13" s="1237"/>
      <c r="C13" s="1237"/>
      <c r="D13" s="1237"/>
      <c r="E13" s="2507"/>
      <c r="F13" s="2507"/>
      <c r="G13" s="2506"/>
      <c r="H13" s="1237"/>
      <c r="I13" s="1237"/>
      <c r="J13" s="1237"/>
      <c r="K13" s="1237"/>
      <c r="L13" s="1262"/>
      <c r="M13" s="1238"/>
      <c r="N13" s="1238"/>
      <c r="P13" s="1239"/>
      <c r="Q13" s="1240"/>
      <c r="R13" s="1239"/>
      <c r="S13" s="1241"/>
      <c r="T13" s="1242" t="s">
        <v>433</v>
      </c>
      <c r="U13" s="1243"/>
      <c r="V13" s="1243"/>
      <c r="W13" s="1243"/>
      <c r="X13" s="1243"/>
      <c r="Y13" s="1243"/>
      <c r="Z13" s="1243"/>
      <c r="AA13" s="1243"/>
      <c r="AB13" s="1243"/>
      <c r="AC13" s="1243"/>
      <c r="AD13" s="1243"/>
      <c r="AE13" s="1243"/>
      <c r="AF13" s="1243"/>
      <c r="AG13" s="1243"/>
      <c r="AH13" s="1243"/>
      <c r="AI13" s="1243"/>
      <c r="AJ13" s="1243"/>
      <c r="AK13" s="1243"/>
      <c r="AL13" s="1243"/>
      <c r="AM13" s="1243"/>
      <c r="AO13" s="718"/>
      <c r="AP13" s="718" t="str">
        <f t="shared" si="0"/>
        <v>Добавить источник для дифференциации</v>
      </c>
      <c r="AQ13" s="718"/>
      <c r="AR13" s="718"/>
      <c r="AS13" s="454">
        <v>0</v>
      </c>
    </row>
    <row r="14" spans="1:45" s="1565" customFormat="1" ht="14.25" hidden="1" customHeight="1">
      <c r="A14" s="1237"/>
      <c r="B14" s="1237"/>
      <c r="C14" s="1237"/>
      <c r="D14" s="1237"/>
      <c r="E14" s="2507"/>
      <c r="F14" s="2506"/>
      <c r="G14" s="1237"/>
      <c r="H14" s="1237"/>
      <c r="I14" s="1237"/>
      <c r="J14" s="1237"/>
      <c r="K14" s="1237"/>
      <c r="L14" s="1262"/>
      <c r="M14" s="1244"/>
      <c r="N14" s="1244"/>
      <c r="P14" s="1239"/>
      <c r="Q14" s="1240"/>
      <c r="R14" s="1239"/>
      <c r="S14" s="1245"/>
      <c r="T14" s="1246" t="s">
        <v>434</v>
      </c>
      <c r="U14" s="1247"/>
      <c r="V14" s="1247"/>
      <c r="W14" s="1247"/>
      <c r="X14" s="1247"/>
      <c r="Y14" s="1247"/>
      <c r="Z14" s="1247"/>
      <c r="AA14" s="1247"/>
      <c r="AB14" s="1247"/>
      <c r="AC14" s="1247"/>
      <c r="AD14" s="1247"/>
      <c r="AE14" s="1247"/>
      <c r="AF14" s="1247"/>
      <c r="AG14" s="1247"/>
      <c r="AH14" s="1247"/>
      <c r="AI14" s="1247"/>
      <c r="AJ14" s="1247"/>
      <c r="AK14" s="1247"/>
      <c r="AL14" s="1247"/>
      <c r="AM14" s="1247"/>
      <c r="AO14" s="718"/>
      <c r="AP14" s="718" t="str">
        <f t="shared" si="0"/>
        <v>Добавить централизованную систему для дифференциации</v>
      </c>
      <c r="AQ14" s="718"/>
      <c r="AR14" s="718"/>
      <c r="AS14" s="454">
        <v>0</v>
      </c>
    </row>
    <row r="15" spans="1:45" s="1565" customFormat="1" ht="14.25" hidden="1" customHeight="1">
      <c r="A15" s="1237"/>
      <c r="B15" s="1237"/>
      <c r="C15" s="1237"/>
      <c r="D15" s="1237"/>
      <c r="E15" s="2506"/>
      <c r="F15" s="1237"/>
      <c r="G15" s="1237"/>
      <c r="H15" s="1237"/>
      <c r="I15" s="1237"/>
      <c r="J15" s="1237"/>
      <c r="K15" s="1237"/>
      <c r="L15" s="1262"/>
      <c r="M15" s="1244"/>
      <c r="N15" s="1244"/>
      <c r="P15" s="1239"/>
      <c r="Q15" s="1240"/>
      <c r="R15" s="1239"/>
      <c r="S15" s="1245"/>
      <c r="T15" s="1248" t="s">
        <v>435</v>
      </c>
      <c r="U15" s="1247"/>
      <c r="V15" s="1247"/>
      <c r="W15" s="1247"/>
      <c r="X15" s="1247"/>
      <c r="Y15" s="1247"/>
      <c r="Z15" s="1247"/>
      <c r="AA15" s="1247"/>
      <c r="AB15" s="1247"/>
      <c r="AC15" s="1247"/>
      <c r="AD15" s="1247"/>
      <c r="AE15" s="1247"/>
      <c r="AF15" s="1247"/>
      <c r="AG15" s="1247"/>
      <c r="AH15" s="1247"/>
      <c r="AI15" s="1247"/>
      <c r="AJ15" s="1247"/>
      <c r="AK15" s="1247"/>
      <c r="AL15" s="1247"/>
      <c r="AM15" s="1247"/>
      <c r="AO15" s="718"/>
      <c r="AP15" s="718" t="str">
        <f t="shared" si="0"/>
        <v>Добавить территорию для дифференциации</v>
      </c>
      <c r="AQ15" s="718"/>
      <c r="AR15" s="718"/>
      <c r="AS15" s="454">
        <v>0</v>
      </c>
    </row>
    <row r="16" spans="1:45" ht="14.25" hidden="1" customHeight="1">
      <c r="AC16" s="264"/>
      <c r="AK16" s="264"/>
      <c r="AS16" s="1078">
        <v>0</v>
      </c>
    </row>
    <row r="17" spans="1:45" ht="14.25" hidden="1" customHeight="1">
      <c r="AD17" s="1283"/>
      <c r="AE17" s="1283"/>
      <c r="AF17" s="1283"/>
      <c r="AG17" s="1284"/>
      <c r="AH17" s="2511"/>
      <c r="AI17" s="2512" t="s">
        <v>63</v>
      </c>
      <c r="AJ17" s="2511"/>
      <c r="AK17" s="2512" t="s">
        <v>63</v>
      </c>
      <c r="AS17" s="1078">
        <v>0</v>
      </c>
    </row>
    <row r="18" spans="1:45" ht="14.25" hidden="1" customHeight="1">
      <c r="AD18" s="1283"/>
      <c r="AE18" s="1283"/>
      <c r="AF18" s="1283"/>
      <c r="AG18" s="265" t="str">
        <f>AH17&amp;"-"&amp;AJ17</f>
        <v>-</v>
      </c>
      <c r="AH18" s="2512"/>
      <c r="AI18" s="2512"/>
      <c r="AJ18" s="2512"/>
      <c r="AK18" s="2512"/>
      <c r="AS18" s="1078">
        <v>0</v>
      </c>
    </row>
    <row r="19" spans="1:45" ht="14.25" hidden="1" customHeight="1">
      <c r="AK19" s="264"/>
      <c r="AS19" s="1078">
        <v>0</v>
      </c>
    </row>
    <row r="20" spans="1:45" s="1289" customFormat="1" ht="22.5" hidden="1" customHeight="1">
      <c r="L20" s="1252"/>
      <c r="M20" s="1285"/>
      <c r="N20" s="1285"/>
      <c r="O20" s="1290" t="s">
        <v>436</v>
      </c>
      <c r="P20" s="1285"/>
      <c r="Q20" s="1294"/>
      <c r="R20" s="1294"/>
      <c r="S20" s="665"/>
      <c r="Z20" s="1290"/>
      <c r="AB20" s="1290"/>
      <c r="AH20" s="1290"/>
      <c r="AJ20" s="1290"/>
      <c r="AN20" s="447"/>
      <c r="AO20" s="447"/>
      <c r="AP20" s="447"/>
      <c r="AQ20" s="447"/>
      <c r="AR20" s="447"/>
      <c r="AS20" s="1083">
        <v>0</v>
      </c>
    </row>
    <row r="21" spans="1:45" s="1289" customFormat="1" ht="14.25" hidden="1" customHeight="1">
      <c r="L21" s="1252"/>
      <c r="M21" s="1285"/>
      <c r="N21" s="1285"/>
      <c r="O21" s="1285"/>
      <c r="P21" s="1285"/>
      <c r="Q21" s="1294"/>
      <c r="R21" s="1294"/>
      <c r="S21" s="665"/>
      <c r="AN21" s="447"/>
      <c r="AO21" s="447"/>
      <c r="AP21" s="447"/>
      <c r="AQ21" s="447"/>
      <c r="AR21" s="447"/>
      <c r="AS21" s="1083">
        <v>0</v>
      </c>
    </row>
    <row r="22" spans="1:45" s="1289" customFormat="1" ht="14.25" hidden="1" customHeight="1">
      <c r="L22" s="1252"/>
      <c r="M22" s="1285"/>
      <c r="N22" s="1285"/>
      <c r="O22" s="1287" t="s">
        <v>437</v>
      </c>
      <c r="P22" s="1285"/>
      <c r="Q22" s="1294"/>
      <c r="R22" s="1294"/>
      <c r="S22" s="665"/>
      <c r="T22" s="1083" t="s">
        <v>438</v>
      </c>
      <c r="AA22" s="123" t="s">
        <v>439</v>
      </c>
      <c r="AC22" s="123" t="s">
        <v>440</v>
      </c>
      <c r="AD22" s="1083" t="s">
        <v>438</v>
      </c>
      <c r="AI22" s="123" t="s">
        <v>441</v>
      </c>
      <c r="AK22" s="123" t="s">
        <v>440</v>
      </c>
      <c r="AN22" s="447"/>
      <c r="AO22" s="447"/>
      <c r="AP22" s="447"/>
      <c r="AQ22" s="447"/>
      <c r="AR22" s="447"/>
      <c r="AS22" s="1083">
        <v>0</v>
      </c>
    </row>
    <row r="23" spans="1:45" ht="14.25" hidden="1" customHeight="1">
      <c r="O23" s="1287"/>
      <c r="AS23" s="1078">
        <v>0</v>
      </c>
    </row>
    <row r="24" spans="1:45" ht="14.25" hidden="1" customHeight="1">
      <c r="O24" s="1287"/>
      <c r="AS24" s="1078">
        <v>0</v>
      </c>
    </row>
    <row r="25" spans="1:45" ht="14.65" customHeight="1">
      <c r="Q25" s="312"/>
      <c r="R25" s="312"/>
      <c r="S25" s="1198"/>
      <c r="T25" s="299"/>
      <c r="U25" s="299"/>
      <c r="V25" s="445"/>
      <c r="W25" s="445"/>
      <c r="X25" s="445"/>
      <c r="Y25" s="445"/>
      <c r="Z25" s="445"/>
      <c r="AA25" s="445"/>
      <c r="AB25" s="445"/>
      <c r="AC25" s="445"/>
      <c r="AD25" s="445"/>
      <c r="AE25" s="445"/>
      <c r="AF25" s="445"/>
      <c r="AG25" s="445"/>
      <c r="AH25" s="445"/>
      <c r="AI25" s="445"/>
      <c r="AJ25" s="445"/>
      <c r="AK25" s="445"/>
      <c r="AS25" s="1078">
        <v>14</v>
      </c>
    </row>
    <row r="26" spans="1:45" ht="53.45" customHeight="1">
      <c r="Q26" s="312"/>
      <c r="R26" s="312"/>
      <c r="S26" s="249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90"/>
      <c r="U26" s="2490"/>
      <c r="V26" s="2490"/>
      <c r="W26" s="2490"/>
      <c r="X26" s="2490"/>
      <c r="Y26" s="2490"/>
      <c r="Z26" s="2490"/>
      <c r="AA26" s="2490"/>
      <c r="AB26" s="2490"/>
      <c r="AC26" s="2490"/>
      <c r="AD26" s="2490"/>
      <c r="AE26" s="2490"/>
      <c r="AF26" s="2490"/>
      <c r="AG26" s="2490"/>
      <c r="AH26" s="2490"/>
      <c r="AI26" s="2490"/>
      <c r="AJ26" s="2490"/>
      <c r="AK26" s="1166"/>
      <c r="AS26" s="1078">
        <v>51</v>
      </c>
    </row>
    <row r="27" spans="1:45" ht="14.65" customHeight="1">
      <c r="Q27" s="312"/>
      <c r="R27" s="312"/>
      <c r="S27" s="2436" t="str">
        <f>IF(org=0,"Не определено",org)</f>
        <v>ПАО "ТГК-2"</v>
      </c>
      <c r="T27" s="2436"/>
      <c r="U27" s="2436"/>
      <c r="V27" s="2436"/>
      <c r="W27" s="2436"/>
      <c r="X27" s="2436"/>
      <c r="Y27" s="2436"/>
      <c r="Z27" s="2436"/>
      <c r="AA27" s="2436"/>
      <c r="AB27" s="2436"/>
      <c r="AC27" s="2436"/>
      <c r="AD27" s="2436"/>
      <c r="AE27" s="2436"/>
      <c r="AF27" s="2436"/>
      <c r="AG27" s="2436"/>
      <c r="AH27" s="2436"/>
      <c r="AI27" s="2436"/>
      <c r="AJ27" s="2436"/>
      <c r="AK27" s="1166"/>
      <c r="AS27" s="1078">
        <v>14</v>
      </c>
    </row>
    <row r="28" spans="1:45" ht="14.25" hidden="1" customHeight="1">
      <c r="Q28" s="312"/>
      <c r="R28" s="312"/>
      <c r="S28" s="1198"/>
      <c r="T28" s="299"/>
      <c r="U28" s="299"/>
      <c r="V28" s="259"/>
      <c r="W28" s="259"/>
      <c r="X28" s="259"/>
      <c r="Y28" s="259"/>
      <c r="Z28" s="259"/>
      <c r="AA28" s="259"/>
      <c r="AB28" s="259"/>
      <c r="AC28" s="259"/>
      <c r="AD28" s="259"/>
      <c r="AE28" s="259"/>
      <c r="AF28" s="259"/>
      <c r="AG28" s="259"/>
      <c r="AH28" s="259"/>
      <c r="AI28" s="259"/>
      <c r="AJ28" s="259"/>
      <c r="AK28" s="259"/>
      <c r="AL28" s="445"/>
      <c r="AS28" s="1078">
        <v>0</v>
      </c>
    </row>
    <row r="29" spans="1:45" s="1770" customFormat="1" ht="25.5" hidden="1" customHeight="1">
      <c r="A29" s="1291"/>
      <c r="B29" s="1291"/>
      <c r="C29" s="1291"/>
      <c r="D29" s="1291"/>
      <c r="E29" s="1291"/>
      <c r="F29" s="1291"/>
      <c r="G29" s="1291"/>
      <c r="H29" s="1291"/>
      <c r="I29" s="1291"/>
      <c r="J29" s="1291"/>
      <c r="K29" s="1291"/>
      <c r="L29" s="1292"/>
      <c r="M29" s="1291"/>
      <c r="N29" s="1291"/>
      <c r="O29" s="1291"/>
      <c r="S29" s="249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498"/>
      <c r="U29" s="1295"/>
      <c r="V29" s="2499" t="str">
        <f>IF(TITLE_NAME_OR_PR_CHANGE="",IF(TITLE_NAME_OR_PR="","",TITLE_NAME_OR_PR),TITLE_NAME_OR_PR_CHANGE)</f>
        <v/>
      </c>
      <c r="W29" s="2499"/>
      <c r="X29" s="2499"/>
      <c r="Y29" s="2499"/>
      <c r="Z29" s="2499"/>
      <c r="AA29" s="2499"/>
      <c r="AB29" s="2499"/>
      <c r="AC29" s="263"/>
      <c r="AD29" s="2499" t="str">
        <f>IF(TITLE_NAME_OR_PR_CHANGE="",IF(TITLE_NAME_OR_PR="","",TITLE_NAME_OR_PR),TITLE_NAME_OR_PR_CHANGE)</f>
        <v/>
      </c>
      <c r="AE29" s="2499"/>
      <c r="AF29" s="2499"/>
      <c r="AG29" s="2499"/>
      <c r="AH29" s="2499"/>
      <c r="AI29" s="2499"/>
      <c r="AJ29" s="2499"/>
      <c r="AK29" s="263"/>
      <c r="AL29" s="263"/>
      <c r="AM29" s="217"/>
      <c r="AN29" s="304"/>
      <c r="AO29" s="304"/>
      <c r="AP29" s="304"/>
      <c r="AQ29" s="304"/>
      <c r="AR29" s="304"/>
      <c r="AS29" s="354">
        <v>0</v>
      </c>
    </row>
    <row r="30" spans="1:45" s="1770" customFormat="1" ht="18.75" hidden="1" customHeight="1">
      <c r="A30" s="1291"/>
      <c r="B30" s="1291"/>
      <c r="C30" s="1291"/>
      <c r="D30" s="1291"/>
      <c r="E30" s="1291"/>
      <c r="F30" s="1291"/>
      <c r="G30" s="1291"/>
      <c r="H30" s="1291"/>
      <c r="I30" s="1291"/>
      <c r="J30" s="1291"/>
      <c r="K30" s="1291"/>
      <c r="L30" s="1292"/>
      <c r="M30" s="1291"/>
      <c r="N30" s="1291"/>
      <c r="O30" s="1291"/>
      <c r="S30" s="2498" t="str">
        <f>"Дата документа об "&amp;IF(TITLE_DATE_PR_CHANGE="","утверждении","изменении")&amp;" тарифов"</f>
        <v>Дата документа об утверждении тарифов</v>
      </c>
      <c r="T30" s="2498"/>
      <c r="U30" s="1295"/>
      <c r="V30" s="2508" t="str">
        <f>IF(TITLE_DATE_PR_CHANGE="",IF(TITLE_DATE_PR="","",TITLE_DATE_PR),TITLE_DATE_PR_CHANGE)</f>
        <v/>
      </c>
      <c r="W30" s="2508"/>
      <c r="X30" s="2508"/>
      <c r="Y30" s="2508"/>
      <c r="Z30" s="2508"/>
      <c r="AA30" s="2508"/>
      <c r="AB30" s="2508"/>
      <c r="AC30" s="263"/>
      <c r="AD30" s="2508" t="str">
        <f>IF(TITLE_DATE_PR_CHANGE="",IF(TITLE_DATE_PR="","",TITLE_DATE_PR),TITLE_DATE_PR_CHANGE)</f>
        <v/>
      </c>
      <c r="AE30" s="2508"/>
      <c r="AF30" s="2508"/>
      <c r="AG30" s="2508"/>
      <c r="AH30" s="2508"/>
      <c r="AI30" s="2508"/>
      <c r="AJ30" s="2508"/>
      <c r="AK30" s="263"/>
      <c r="AL30" s="263"/>
      <c r="AM30" s="217"/>
      <c r="AN30" s="304"/>
      <c r="AO30" s="304"/>
      <c r="AP30" s="304"/>
      <c r="AQ30" s="304"/>
      <c r="AR30" s="304"/>
      <c r="AS30" s="354">
        <v>0</v>
      </c>
    </row>
    <row r="31" spans="1:45" s="1770" customFormat="1" ht="18.75" hidden="1" customHeight="1">
      <c r="A31" s="1291"/>
      <c r="B31" s="1291"/>
      <c r="C31" s="1291"/>
      <c r="D31" s="1291"/>
      <c r="E31" s="1291"/>
      <c r="F31" s="1291"/>
      <c r="G31" s="1291"/>
      <c r="H31" s="1291"/>
      <c r="I31" s="1291"/>
      <c r="J31" s="1291"/>
      <c r="K31" s="1291"/>
      <c r="L31" s="1292"/>
      <c r="M31" s="1291"/>
      <c r="N31" s="1291"/>
      <c r="O31" s="1291"/>
      <c r="S31" s="2498" t="str">
        <f>"Номер документа об "&amp;IF(TITLE_DATE_PR_CHANGE="","утверждении","изменении")&amp;" тарифов"</f>
        <v>Номер документа об утверждении тарифов</v>
      </c>
      <c r="T31" s="2498"/>
      <c r="U31" s="1295"/>
      <c r="V31" s="2499" t="str">
        <f>IF(TITLE_NUMBER_PR_CHANGE="",IF(TITLE_NUMBER_PR="","",TITLE_NUMBER_PR),TITLE_NUMBER_PR_CHANGE)</f>
        <v/>
      </c>
      <c r="W31" s="2499"/>
      <c r="X31" s="2499"/>
      <c r="Y31" s="2499"/>
      <c r="Z31" s="2499"/>
      <c r="AA31" s="2499"/>
      <c r="AB31" s="2499"/>
      <c r="AC31" s="263"/>
      <c r="AD31" s="2499" t="str">
        <f>IF(TITLE_NUMBER_PR_CHANGE="",IF(TITLE_NUMBER_PR="","",TITLE_NUMBER_PR),TITLE_NUMBER_PR_CHANGE)</f>
        <v/>
      </c>
      <c r="AE31" s="2499"/>
      <c r="AF31" s="2499"/>
      <c r="AG31" s="2499"/>
      <c r="AH31" s="2499"/>
      <c r="AI31" s="2499"/>
      <c r="AJ31" s="2499"/>
      <c r="AK31" s="263"/>
      <c r="AL31" s="263"/>
      <c r="AM31" s="217"/>
      <c r="AN31" s="304"/>
      <c r="AO31" s="304"/>
      <c r="AP31" s="304"/>
      <c r="AQ31" s="304"/>
      <c r="AR31" s="304"/>
      <c r="AS31" s="354">
        <v>0</v>
      </c>
    </row>
    <row r="32" spans="1:45" s="1770" customFormat="1" ht="18.75" hidden="1" customHeight="1">
      <c r="A32" s="1291"/>
      <c r="B32" s="1291"/>
      <c r="C32" s="1291"/>
      <c r="D32" s="1291"/>
      <c r="E32" s="1291"/>
      <c r="F32" s="1291"/>
      <c r="G32" s="1291"/>
      <c r="H32" s="1291"/>
      <c r="I32" s="1291"/>
      <c r="J32" s="1291"/>
      <c r="K32" s="1291"/>
      <c r="L32" s="1292"/>
      <c r="M32" s="1291"/>
      <c r="N32" s="1291"/>
      <c r="O32" s="1291"/>
      <c r="S32" s="2498" t="s">
        <v>43</v>
      </c>
      <c r="T32" s="2498"/>
      <c r="U32" s="1295"/>
      <c r="V32" s="2499" t="str">
        <f>IF(TITLE_IST_PUB_CHANGE="",IF(TITLE_IST_PUB="","",TITLE_IST_PUB),TITLE_IST_PUB_CHANGE)</f>
        <v/>
      </c>
      <c r="W32" s="2499"/>
      <c r="X32" s="2499"/>
      <c r="Y32" s="2499"/>
      <c r="Z32" s="2499"/>
      <c r="AA32" s="2499"/>
      <c r="AB32" s="2499"/>
      <c r="AC32" s="263"/>
      <c r="AD32" s="2499" t="str">
        <f>IF(TITLE_IST_PUB_CHANGE="",IF(TITLE_IST_PUB="","",TITLE_IST_PUB),TITLE_IST_PUB_CHANGE)</f>
        <v/>
      </c>
      <c r="AE32" s="2499"/>
      <c r="AF32" s="2499"/>
      <c r="AG32" s="2499"/>
      <c r="AH32" s="2499"/>
      <c r="AI32" s="2499"/>
      <c r="AJ32" s="2499"/>
      <c r="AK32" s="263"/>
      <c r="AL32" s="263"/>
      <c r="AM32" s="217"/>
      <c r="AN32" s="304"/>
      <c r="AO32" s="304"/>
      <c r="AP32" s="304"/>
      <c r="AQ32" s="304"/>
      <c r="AR32" s="304"/>
      <c r="AS32" s="354">
        <v>0</v>
      </c>
    </row>
    <row r="33" spans="1:45" ht="14.25" hidden="1" customHeight="1">
      <c r="Q33" s="312"/>
      <c r="R33" s="312"/>
      <c r="S33" s="1198"/>
      <c r="T33" s="393"/>
      <c r="U33" s="299"/>
      <c r="V33" s="259"/>
      <c r="W33" s="259"/>
      <c r="X33" s="259"/>
      <c r="Y33" s="259"/>
      <c r="Z33" s="259"/>
      <c r="AA33" s="259"/>
      <c r="AB33" s="259"/>
      <c r="AC33" s="259"/>
      <c r="AD33" s="259"/>
      <c r="AE33" s="259"/>
      <c r="AF33" s="259"/>
      <c r="AG33" s="259"/>
      <c r="AH33" s="259"/>
      <c r="AI33" s="259"/>
      <c r="AJ33" s="259"/>
      <c r="AK33" s="259"/>
      <c r="AL33" s="445"/>
      <c r="AS33" s="1078">
        <v>0</v>
      </c>
    </row>
    <row r="34" spans="1:45" s="1770" customFormat="1" ht="18.75" hidden="1" customHeight="1">
      <c r="A34" s="1291"/>
      <c r="B34" s="1291"/>
      <c r="C34" s="1291"/>
      <c r="D34" s="1291"/>
      <c r="E34" s="1291"/>
      <c r="F34" s="1291"/>
      <c r="G34" s="1291"/>
      <c r="H34" s="1291"/>
      <c r="I34" s="1291"/>
      <c r="J34" s="1291"/>
      <c r="K34" s="1291"/>
      <c r="L34" s="1292"/>
      <c r="M34" s="1291"/>
      <c r="N34" s="1291"/>
      <c r="O34" s="1291"/>
      <c r="S34" s="2498" t="str">
        <f>"Дата подачи заявления об "&amp;IF(TITLE_DATE_PR_CHANGE="","утверждении","изменении")&amp;" тарифов"</f>
        <v>Дата подачи заявления об утверждении тарифов</v>
      </c>
      <c r="T34" s="2498"/>
      <c r="U34" s="1295"/>
      <c r="V34" s="2508" t="str">
        <f>IF(TITLE_DATE_PR_CHANGE="",IF(TITLE_DATE_PR="","",TITLE_DATE_PR),TITLE_DATE_PR_CHANGE)</f>
        <v/>
      </c>
      <c r="W34" s="2508"/>
      <c r="X34" s="2508"/>
      <c r="Y34" s="2508"/>
      <c r="Z34" s="2508"/>
      <c r="AA34" s="2508"/>
      <c r="AB34" s="2508"/>
      <c r="AC34" s="263"/>
      <c r="AD34" s="2508" t="str">
        <f>IF(TITLE_DATE_PR_CHANGE="",IF(TITLE_DATE_PR="","",TITLE_DATE_PR),TITLE_DATE_PR_CHANGE)</f>
        <v/>
      </c>
      <c r="AE34" s="2508"/>
      <c r="AF34" s="2508"/>
      <c r="AG34" s="2508"/>
      <c r="AH34" s="2508"/>
      <c r="AI34" s="2508"/>
      <c r="AJ34" s="2508"/>
      <c r="AK34" s="263"/>
      <c r="AL34" s="263"/>
      <c r="AM34" s="217"/>
      <c r="AN34" s="304"/>
      <c r="AO34" s="304"/>
      <c r="AP34" s="304"/>
      <c r="AQ34" s="304"/>
      <c r="AR34" s="304"/>
      <c r="AS34" s="354">
        <v>0</v>
      </c>
    </row>
    <row r="35" spans="1:45" s="1770" customFormat="1" ht="25.5" hidden="1" customHeight="1">
      <c r="A35" s="1291"/>
      <c r="B35" s="1291"/>
      <c r="C35" s="1291"/>
      <c r="D35" s="1291"/>
      <c r="E35" s="1291"/>
      <c r="F35" s="1291"/>
      <c r="G35" s="1291"/>
      <c r="H35" s="1291"/>
      <c r="I35" s="1291"/>
      <c r="J35" s="1291"/>
      <c r="K35" s="1291"/>
      <c r="L35" s="1292"/>
      <c r="M35" s="1291"/>
      <c r="N35" s="1291"/>
      <c r="O35" s="1291"/>
      <c r="S35" s="2498" t="str">
        <f>"Номер подачи заявления об "&amp;IF(TITLE_DATE_PR_CHANGE="","утверждении","изменении")&amp;" тарифов"</f>
        <v>Номер подачи заявления об утверждении тарифов</v>
      </c>
      <c r="T35" s="2498"/>
      <c r="U35" s="1295"/>
      <c r="V35" s="2499" t="str">
        <f>IF(TITLE_NUMBER_PR_CHANGE="",IF(TITLE_NUMBER_PR="","",TITLE_NUMBER_PR),TITLE_NUMBER_PR_CHANGE)</f>
        <v/>
      </c>
      <c r="W35" s="2499"/>
      <c r="X35" s="2499"/>
      <c r="Y35" s="2499"/>
      <c r="Z35" s="2499"/>
      <c r="AA35" s="2499"/>
      <c r="AB35" s="2499"/>
      <c r="AC35" s="263"/>
      <c r="AD35" s="2499" t="str">
        <f>IF(TITLE_NUMBER_PR_CHANGE="",IF(TITLE_NUMBER_PR="","",TITLE_NUMBER_PR),TITLE_NUMBER_PR_CHANGE)</f>
        <v/>
      </c>
      <c r="AE35" s="2499"/>
      <c r="AF35" s="2499"/>
      <c r="AG35" s="2499"/>
      <c r="AH35" s="2499"/>
      <c r="AI35" s="2499"/>
      <c r="AJ35" s="2499"/>
      <c r="AK35" s="263"/>
      <c r="AL35" s="263"/>
      <c r="AM35" s="217"/>
      <c r="AN35" s="304"/>
      <c r="AO35" s="304"/>
      <c r="AP35" s="304"/>
      <c r="AQ35" s="304"/>
      <c r="AR35" s="304"/>
      <c r="AS35" s="354">
        <v>0</v>
      </c>
    </row>
    <row r="36" spans="1:45" s="1770" customFormat="1" ht="0" hidden="1" customHeight="1">
      <c r="A36" s="1291"/>
      <c r="B36" s="1291"/>
      <c r="C36" s="1291"/>
      <c r="D36" s="1291"/>
      <c r="E36" s="1291"/>
      <c r="F36" s="1291"/>
      <c r="G36" s="1291"/>
      <c r="H36" s="1291"/>
      <c r="I36" s="1291"/>
      <c r="J36" s="1291"/>
      <c r="K36" s="1291"/>
      <c r="L36" s="1292"/>
      <c r="M36" s="1291"/>
      <c r="N36" s="1291"/>
      <c r="O36" s="1291"/>
      <c r="S36" s="260"/>
      <c r="T36" s="260"/>
      <c r="U36" s="1263"/>
      <c r="V36" s="263"/>
      <c r="W36" s="263"/>
      <c r="X36" s="263"/>
      <c r="Y36" s="263"/>
      <c r="Z36" s="263"/>
      <c r="AA36" s="263"/>
      <c r="AB36" s="263"/>
      <c r="AC36" s="215" t="s">
        <v>442</v>
      </c>
      <c r="AD36" s="263"/>
      <c r="AE36" s="263"/>
      <c r="AF36" s="263"/>
      <c r="AG36" s="263"/>
      <c r="AH36" s="263"/>
      <c r="AI36" s="263"/>
      <c r="AJ36" s="263"/>
      <c r="AK36" s="215" t="s">
        <v>442</v>
      </c>
      <c r="AN36" s="304"/>
      <c r="AO36" s="304"/>
      <c r="AP36" s="304"/>
      <c r="AQ36" s="304"/>
      <c r="AR36" s="304"/>
      <c r="AS36" s="354">
        <v>0</v>
      </c>
    </row>
    <row r="37" spans="1:45" ht="14.65" customHeight="1">
      <c r="Q37" s="312"/>
      <c r="R37" s="312"/>
      <c r="S37" s="1198"/>
      <c r="T37" s="299"/>
      <c r="U37" s="1167"/>
      <c r="V37" s="2500"/>
      <c r="W37" s="2500"/>
      <c r="X37" s="2500"/>
      <c r="Y37" s="2500"/>
      <c r="Z37" s="2500"/>
      <c r="AA37" s="2500"/>
      <c r="AB37" s="2500"/>
      <c r="AC37" s="2500"/>
      <c r="AD37" s="2500"/>
      <c r="AE37" s="2500"/>
      <c r="AF37" s="2500"/>
      <c r="AG37" s="2500"/>
      <c r="AH37" s="2500"/>
      <c r="AI37" s="2500"/>
      <c r="AJ37" s="2500"/>
      <c r="AK37" s="2500"/>
      <c r="AS37" s="1078">
        <v>14</v>
      </c>
    </row>
    <row r="38" spans="1:45" ht="14.65" customHeight="1">
      <c r="Q38" s="312"/>
      <c r="R38" s="312"/>
      <c r="S38" s="2371" t="s">
        <v>319</v>
      </c>
      <c r="T38" s="2371"/>
      <c r="U38" s="2371"/>
      <c r="V38" s="2371"/>
      <c r="W38" s="2371"/>
      <c r="X38" s="2371"/>
      <c r="Y38" s="2371"/>
      <c r="Z38" s="2371"/>
      <c r="AA38" s="2371"/>
      <c r="AB38" s="2371"/>
      <c r="AC38" s="2371"/>
      <c r="AD38" s="2371"/>
      <c r="AE38" s="2371"/>
      <c r="AF38" s="2371"/>
      <c r="AG38" s="2371"/>
      <c r="AH38" s="2371"/>
      <c r="AI38" s="2371"/>
      <c r="AJ38" s="2371"/>
      <c r="AK38" s="2371"/>
      <c r="AL38" s="2371"/>
      <c r="AM38" s="2371" t="s">
        <v>320</v>
      </c>
      <c r="AS38" s="1078">
        <v>14</v>
      </c>
    </row>
    <row r="39" spans="1:45" ht="14.65" customHeight="1">
      <c r="Q39" s="312"/>
      <c r="R39" s="312"/>
      <c r="S39" s="2514" t="s">
        <v>89</v>
      </c>
      <c r="T39" s="2466" t="s">
        <v>443</v>
      </c>
      <c r="U39" s="238"/>
      <c r="V39" s="2515" t="s">
        <v>444</v>
      </c>
      <c r="W39" s="2516"/>
      <c r="X39" s="2516"/>
      <c r="Y39" s="2516"/>
      <c r="Z39" s="2516"/>
      <c r="AA39" s="2516"/>
      <c r="AB39" s="2517"/>
      <c r="AC39" s="2518" t="s">
        <v>445</v>
      </c>
      <c r="AD39" s="2515" t="s">
        <v>444</v>
      </c>
      <c r="AE39" s="2516"/>
      <c r="AF39" s="2516"/>
      <c r="AG39" s="2516"/>
      <c r="AH39" s="2516"/>
      <c r="AI39" s="2516"/>
      <c r="AJ39" s="2517"/>
      <c r="AK39" s="2518" t="s">
        <v>446</v>
      </c>
      <c r="AL39" s="2521" t="s">
        <v>447</v>
      </c>
      <c r="AM39" s="2371"/>
      <c r="AS39" s="1078">
        <v>14</v>
      </c>
    </row>
    <row r="40" spans="1:45" ht="35.65" customHeight="1">
      <c r="Q40" s="312"/>
      <c r="R40" s="312"/>
      <c r="S40" s="2514"/>
      <c r="T40" s="2466"/>
      <c r="U40" s="958"/>
      <c r="V40" s="2435" t="s">
        <v>448</v>
      </c>
      <c r="W40" s="2524"/>
      <c r="X40" s="2350" t="s">
        <v>450</v>
      </c>
      <c r="Y40" s="2349"/>
      <c r="Z40" s="2350" t="s">
        <v>451</v>
      </c>
      <c r="AA40" s="2356"/>
      <c r="AB40" s="2349"/>
      <c r="AC40" s="2519"/>
      <c r="AD40" s="2435" t="s">
        <v>465</v>
      </c>
      <c r="AE40" s="2524"/>
      <c r="AF40" s="2350" t="s">
        <v>450</v>
      </c>
      <c r="AG40" s="2349"/>
      <c r="AH40" s="2350" t="s">
        <v>451</v>
      </c>
      <c r="AI40" s="2356"/>
      <c r="AJ40" s="2349"/>
      <c r="AK40" s="2519"/>
      <c r="AL40" s="2522"/>
      <c r="AM40" s="2371"/>
      <c r="AS40" s="1078">
        <v>34</v>
      </c>
    </row>
    <row r="41" spans="1:45" ht="35.65" customHeight="1">
      <c r="A41" s="1293"/>
      <c r="B41" s="1293" t="s">
        <v>156</v>
      </c>
      <c r="C41" s="1293" t="s">
        <v>157</v>
      </c>
      <c r="D41" s="1293" t="s">
        <v>158</v>
      </c>
      <c r="E41" s="1287" t="s">
        <v>452</v>
      </c>
      <c r="F41" s="1287" t="s">
        <v>453</v>
      </c>
      <c r="G41" s="1287" t="s">
        <v>454</v>
      </c>
      <c r="H41" s="1287" t="s">
        <v>455</v>
      </c>
      <c r="I41" s="1287" t="s">
        <v>456</v>
      </c>
      <c r="J41" s="1287" t="s">
        <v>457</v>
      </c>
      <c r="K41" s="1287" t="s">
        <v>458</v>
      </c>
      <c r="L41" s="1287" t="s">
        <v>437</v>
      </c>
      <c r="Q41" s="312"/>
      <c r="R41" s="312"/>
      <c r="S41" s="2514"/>
      <c r="T41" s="2466"/>
      <c r="U41" s="239"/>
      <c r="V41" s="2485"/>
      <c r="W41" s="2525"/>
      <c r="X41" s="1145" t="s">
        <v>459</v>
      </c>
      <c r="Y41" s="1145" t="s">
        <v>460</v>
      </c>
      <c r="Z41" s="1261" t="s">
        <v>461</v>
      </c>
      <c r="AA41" s="2474" t="s">
        <v>462</v>
      </c>
      <c r="AB41" s="2476"/>
      <c r="AC41" s="2520"/>
      <c r="AD41" s="2485"/>
      <c r="AE41" s="2525"/>
      <c r="AF41" s="1145" t="s">
        <v>459</v>
      </c>
      <c r="AG41" s="1145" t="s">
        <v>460</v>
      </c>
      <c r="AH41" s="1261" t="s">
        <v>461</v>
      </c>
      <c r="AI41" s="2474" t="s">
        <v>462</v>
      </c>
      <c r="AJ41" s="2476"/>
      <c r="AK41" s="2520"/>
      <c r="AL41" s="2523"/>
      <c r="AM41" s="2371"/>
      <c r="AS41" s="1078">
        <v>34</v>
      </c>
    </row>
    <row r="42" spans="1:45" s="1564" customFormat="1" ht="11.25" hidden="1" customHeight="1">
      <c r="A42" s="1293"/>
      <c r="B42" s="1293"/>
      <c r="C42" s="1293"/>
      <c r="D42" s="1293"/>
      <c r="E42" s="1293"/>
      <c r="F42" s="1293"/>
      <c r="G42" s="1293"/>
      <c r="H42" s="1293"/>
      <c r="I42" s="1293"/>
      <c r="J42" s="1293"/>
      <c r="K42" s="1293"/>
      <c r="L42" s="1287"/>
      <c r="M42" s="1285"/>
      <c r="N42" s="1285"/>
      <c r="O42" s="1285"/>
      <c r="P42" s="1169"/>
      <c r="Q42" s="1170"/>
      <c r="R42" s="1177">
        <v>1</v>
      </c>
      <c r="S42" s="1200" t="s">
        <v>100</v>
      </c>
      <c r="T42" s="1178" t="s">
        <v>103</v>
      </c>
      <c r="U42" s="1168" t="str">
        <f ca="1">OFFSET(U42,0,-1)</f>
        <v>2</v>
      </c>
      <c r="V42" s="1258">
        <f ca="1">OFFSET(V42,0,-1)+1</f>
        <v>3</v>
      </c>
      <c r="W42" s="1258"/>
      <c r="X42" s="1258">
        <f ca="1">OFFSET(X42,0,-1)+1</f>
        <v>1</v>
      </c>
      <c r="Y42" s="1258">
        <f ca="1">OFFSET(Y42,0,-1)+1</f>
        <v>2</v>
      </c>
      <c r="Z42" s="1258">
        <f ca="1">OFFSET(Z42,0,-1)+1</f>
        <v>3</v>
      </c>
      <c r="AA42" s="2513">
        <f ca="1">OFFSET(AA42,0,-1)+1</f>
        <v>4</v>
      </c>
      <c r="AB42" s="2513"/>
      <c r="AC42" s="1258">
        <f ca="1">OFFSET(AC42,0,-2)+1</f>
        <v>5</v>
      </c>
      <c r="AD42" s="1258">
        <f ca="1">OFFSET(AD42,0,-1)+1</f>
        <v>6</v>
      </c>
      <c r="AE42" s="1258"/>
      <c r="AF42" s="1258">
        <f ca="1">OFFSET(AF42,0,-1)+1</f>
        <v>1</v>
      </c>
      <c r="AG42" s="1258">
        <f ca="1">OFFSET(AG42,0,-1)+1</f>
        <v>2</v>
      </c>
      <c r="AH42" s="1258">
        <f ca="1">OFFSET(AH42,0,-1)+1</f>
        <v>3</v>
      </c>
      <c r="AI42" s="2513">
        <f ca="1">OFFSET(AI42,0,-1)+1</f>
        <v>4</v>
      </c>
      <c r="AJ42" s="2513"/>
      <c r="AK42" s="1258">
        <f ca="1">OFFSET(AK42,0,-2)+1</f>
        <v>5</v>
      </c>
      <c r="AL42" s="1168">
        <f ca="1">OFFSET(AL42,0,-1)</f>
        <v>5</v>
      </c>
      <c r="AM42" s="1258">
        <f ca="1">OFFSET(AM42,0,-1)+1</f>
        <v>6</v>
      </c>
      <c r="AN42" s="447"/>
      <c r="AO42" s="447"/>
      <c r="AP42" s="447"/>
      <c r="AQ42" s="447"/>
      <c r="AR42" s="447"/>
      <c r="AS42" s="432">
        <v>0</v>
      </c>
    </row>
    <row r="43" spans="1:45" ht="21.95" customHeight="1">
      <c r="A43" s="1286" t="s">
        <v>207</v>
      </c>
      <c r="B43" s="1286"/>
      <c r="C43" s="1286"/>
      <c r="D43" s="1286"/>
      <c r="E43" s="2506">
        <v>1</v>
      </c>
      <c r="F43" s="1286"/>
      <c r="G43" s="1286"/>
      <c r="H43" s="1286"/>
      <c r="I43" s="1286"/>
      <c r="J43" s="1286"/>
      <c r="K43" s="1286"/>
      <c r="L43" s="1287"/>
      <c r="M43" s="1288"/>
      <c r="N43" s="1288"/>
      <c r="O43" s="1288"/>
      <c r="P43" s="297"/>
      <c r="Q43" s="296"/>
      <c r="R43" s="291"/>
      <c r="S43" s="1259">
        <f>INDEX(PT_DIFFERENTIATION_NUM_NTAR,MATCH(A43,PT_DIFFERENTIATION_NTAR_ID,0))</f>
        <v>0</v>
      </c>
      <c r="T43" s="235" t="s">
        <v>144</v>
      </c>
      <c r="U43" s="237"/>
      <c r="V43" s="2492"/>
      <c r="W43" s="2493"/>
      <c r="X43" s="2493"/>
      <c r="Y43" s="2493"/>
      <c r="Z43" s="2493"/>
      <c r="AA43" s="2493"/>
      <c r="AB43" s="2493"/>
      <c r="AC43" s="2494"/>
      <c r="AD43" s="2492" t="str">
        <f>INDEX(PT_DIFFERENTIATION_NTAR,MATCH(A43,PT_DIFFERENTIATION_NTAR_ID,0))</f>
        <v/>
      </c>
      <c r="AE43" s="2493"/>
      <c r="AF43" s="2493"/>
      <c r="AG43" s="2493"/>
      <c r="AH43" s="2493"/>
      <c r="AI43" s="2493"/>
      <c r="AJ43" s="2493"/>
      <c r="AK43" s="2493"/>
      <c r="AL43" s="2494"/>
      <c r="AM43" s="118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8">
        <v>21</v>
      </c>
    </row>
    <row r="44" spans="1:45" ht="21.95" customHeight="1">
      <c r="A44" s="1286" t="s">
        <v>207</v>
      </c>
      <c r="B44" s="1286" t="s">
        <v>208</v>
      </c>
      <c r="C44" s="1286"/>
      <c r="D44" s="1286"/>
      <c r="E44" s="2507"/>
      <c r="F44" s="2506">
        <v>1</v>
      </c>
      <c r="G44" s="1286"/>
      <c r="H44" s="1286"/>
      <c r="I44" s="1286"/>
      <c r="J44" s="1286"/>
      <c r="K44" s="1286"/>
      <c r="L44" s="1287"/>
      <c r="M44" s="1288"/>
      <c r="N44" s="1288"/>
      <c r="O44" s="1288"/>
      <c r="P44" s="1255"/>
      <c r="Q44" s="288"/>
      <c r="R44" s="289"/>
      <c r="S44" s="1259" t="str">
        <f>INDEX(PT_DIFFERENTIATION_NUM_TER,MATCH(B44,PT_DIFFERENTIATION_TER_ID,0))</f>
        <v>.</v>
      </c>
      <c r="T44" s="245" t="s">
        <v>416</v>
      </c>
      <c r="U44" s="237"/>
      <c r="V44" s="2492"/>
      <c r="W44" s="2493"/>
      <c r="X44" s="2493"/>
      <c r="Y44" s="2493"/>
      <c r="Z44" s="2493"/>
      <c r="AA44" s="2493"/>
      <c r="AB44" s="2493"/>
      <c r="AC44" s="2494"/>
      <c r="AD44" s="2492" t="str">
        <f>INDEX(PT_DIFFERENTIATION_TER,MATCH(B44,PT_DIFFERENTIATION_TER_ID,0))</f>
        <v/>
      </c>
      <c r="AE44" s="2493"/>
      <c r="AF44" s="2493"/>
      <c r="AG44" s="2493"/>
      <c r="AH44" s="2493"/>
      <c r="AI44" s="2493"/>
      <c r="AJ44" s="2493"/>
      <c r="AK44" s="2493"/>
      <c r="AL44" s="2494"/>
      <c r="AM44" s="1181" t="s">
        <v>417</v>
      </c>
      <c r="AO44" s="436"/>
      <c r="AP44" s="436" t="str">
        <f t="shared" si="1"/>
        <v>Территория действия тарифа</v>
      </c>
      <c r="AQ44" s="436"/>
      <c r="AR44" s="436"/>
      <c r="AS44" s="1078">
        <v>21</v>
      </c>
    </row>
    <row r="45" spans="1:45" ht="24" customHeight="1">
      <c r="A45" s="1286" t="s">
        <v>207</v>
      </c>
      <c r="B45" s="1286" t="s">
        <v>208</v>
      </c>
      <c r="C45" s="1286" t="s">
        <v>209</v>
      </c>
      <c r="D45" s="1286"/>
      <c r="E45" s="2507"/>
      <c r="F45" s="2507"/>
      <c r="G45" s="2506">
        <v>1</v>
      </c>
      <c r="H45" s="1286"/>
      <c r="I45" s="1286"/>
      <c r="J45" s="1286"/>
      <c r="K45" s="1286"/>
      <c r="L45" s="1287"/>
      <c r="M45" s="1288"/>
      <c r="N45" s="1288"/>
      <c r="O45" s="1288"/>
      <c r="P45" s="290"/>
      <c r="Q45" s="288"/>
      <c r="R45" s="289"/>
      <c r="S45" s="1259" t="str">
        <f>INDEX(PT_DIFFERENTIATION_NUM_CS,MATCH(C45,PT_DIFFERENTIATION_CS_ID,0))</f>
        <v>..</v>
      </c>
      <c r="T45" s="246" t="s">
        <v>418</v>
      </c>
      <c r="U45" s="237"/>
      <c r="V45" s="2492"/>
      <c r="W45" s="2493"/>
      <c r="X45" s="2493"/>
      <c r="Y45" s="2493"/>
      <c r="Z45" s="2493"/>
      <c r="AA45" s="2493"/>
      <c r="AB45" s="2493"/>
      <c r="AC45" s="2494"/>
      <c r="AD45" s="2492" t="str">
        <f>INDEX(PT_DIFFERENTIATION_CS,MATCH(C45,PT_DIFFERENTIATION_CS_ID,0))</f>
        <v/>
      </c>
      <c r="AE45" s="2493"/>
      <c r="AF45" s="2493"/>
      <c r="AG45" s="2493"/>
      <c r="AH45" s="2493"/>
      <c r="AI45" s="2493"/>
      <c r="AJ45" s="2493"/>
      <c r="AK45" s="2493"/>
      <c r="AL45" s="2494"/>
      <c r="AM45" s="1181" t="s">
        <v>419</v>
      </c>
      <c r="AO45" s="436"/>
      <c r="AP45" s="436" t="str">
        <f t="shared" si="1"/>
        <v xml:space="preserve">Наименование системы теплоснабжения </v>
      </c>
      <c r="AQ45" s="436"/>
      <c r="AR45" s="436"/>
      <c r="AS45" s="1078">
        <v>23</v>
      </c>
    </row>
    <row r="46" spans="1:45" ht="21.95" customHeight="1">
      <c r="A46" s="1286" t="s">
        <v>207</v>
      </c>
      <c r="B46" s="1286" t="s">
        <v>208</v>
      </c>
      <c r="C46" s="1286" t="s">
        <v>209</v>
      </c>
      <c r="D46" s="1286" t="s">
        <v>210</v>
      </c>
      <c r="E46" s="2507"/>
      <c r="F46" s="2507"/>
      <c r="G46" s="2507"/>
      <c r="H46" s="2506">
        <v>1</v>
      </c>
      <c r="I46" s="1286"/>
      <c r="J46" s="1286"/>
      <c r="K46" s="1286"/>
      <c r="L46" s="1287"/>
      <c r="M46" s="1288"/>
      <c r="N46" s="1288"/>
      <c r="O46" s="1288"/>
      <c r="P46" s="290"/>
      <c r="Q46" s="288"/>
      <c r="R46" s="289"/>
      <c r="S46" s="1259" t="str">
        <f>INDEX(PT_DIFFERENTIATION_NUM_IST_TE,MATCH(D46,PT_DIFFERENTIATION_IST_TE_ID,0))</f>
        <v>...</v>
      </c>
      <c r="T46" s="247" t="s">
        <v>420</v>
      </c>
      <c r="U46" s="237"/>
      <c r="V46" s="2492"/>
      <c r="W46" s="2493"/>
      <c r="X46" s="2493"/>
      <c r="Y46" s="2493"/>
      <c r="Z46" s="2493"/>
      <c r="AA46" s="2493"/>
      <c r="AB46" s="2493"/>
      <c r="AC46" s="2494"/>
      <c r="AD46" s="2492" t="str">
        <f>INDEX(PT_DIFFERENTIATION_IST_TE,MATCH(D46,PT_DIFFERENTIATION_IST_TE_ID,0))</f>
        <v/>
      </c>
      <c r="AE46" s="2493"/>
      <c r="AF46" s="2493"/>
      <c r="AG46" s="2493"/>
      <c r="AH46" s="2493"/>
      <c r="AI46" s="2493"/>
      <c r="AJ46" s="2493"/>
      <c r="AK46" s="2493"/>
      <c r="AL46" s="2494"/>
      <c r="AM46" s="1181" t="s">
        <v>421</v>
      </c>
      <c r="AO46" s="436"/>
      <c r="AP46" s="436" t="str">
        <f t="shared" si="1"/>
        <v xml:space="preserve">Источник тепловой энергии  </v>
      </c>
      <c r="AQ46" s="436"/>
      <c r="AR46" s="436"/>
      <c r="AS46" s="1078">
        <v>21</v>
      </c>
    </row>
    <row r="47" spans="1:45" s="1565" customFormat="1" ht="0" hidden="1" customHeight="1">
      <c r="A47" s="1266" t="s">
        <v>207</v>
      </c>
      <c r="B47" s="1266" t="s">
        <v>208</v>
      </c>
      <c r="C47" s="1266" t="s">
        <v>209</v>
      </c>
      <c r="D47" s="1266" t="s">
        <v>210</v>
      </c>
      <c r="E47" s="2507"/>
      <c r="F47" s="2507"/>
      <c r="G47" s="2507"/>
      <c r="H47" s="2507"/>
      <c r="I47" s="2504" t="str">
        <f>S46&amp;".1"</f>
        <v>....1</v>
      </c>
      <c r="J47" s="1266"/>
      <c r="K47" s="1266"/>
      <c r="L47" s="1269" t="s">
        <v>422</v>
      </c>
      <c r="M47" s="446"/>
      <c r="N47" s="446"/>
      <c r="O47" s="446"/>
      <c r="P47" s="2505">
        <v>1</v>
      </c>
      <c r="Q47" s="1254"/>
      <c r="R47" s="292"/>
      <c r="S47" s="969"/>
      <c r="T47" s="1306"/>
      <c r="U47" s="1307"/>
      <c r="V47" s="2535"/>
      <c r="W47" s="2536"/>
      <c r="X47" s="2536"/>
      <c r="Y47" s="2536"/>
      <c r="Z47" s="2536"/>
      <c r="AA47" s="2536"/>
      <c r="AB47" s="2536"/>
      <c r="AC47" s="2537"/>
      <c r="AD47" s="2535"/>
      <c r="AE47" s="2536"/>
      <c r="AF47" s="2536"/>
      <c r="AG47" s="2536"/>
      <c r="AH47" s="2536"/>
      <c r="AI47" s="2536"/>
      <c r="AJ47" s="2536"/>
      <c r="AK47" s="2536"/>
      <c r="AL47" s="2537"/>
      <c r="AM47" s="1308"/>
      <c r="AO47" s="436"/>
      <c r="AP47" s="436" t="str">
        <f t="shared" si="1"/>
        <v/>
      </c>
      <c r="AQ47" s="436"/>
      <c r="AR47" s="436"/>
      <c r="AS47" s="447">
        <v>0</v>
      </c>
    </row>
    <row r="48" spans="1:45" ht="21.95" customHeight="1">
      <c r="A48" s="1286" t="s">
        <v>207</v>
      </c>
      <c r="B48" s="1286" t="s">
        <v>208</v>
      </c>
      <c r="C48" s="1286" t="s">
        <v>209</v>
      </c>
      <c r="D48" s="1286" t="s">
        <v>210</v>
      </c>
      <c r="E48" s="2507"/>
      <c r="F48" s="2507"/>
      <c r="G48" s="2507"/>
      <c r="H48" s="2507"/>
      <c r="I48" s="2527"/>
      <c r="J48" s="2504" t="str">
        <f>S46&amp;".1"</f>
        <v>....1</v>
      </c>
      <c r="K48" s="1286"/>
      <c r="L48" s="1287" t="s">
        <v>425</v>
      </c>
      <c r="P48" s="2505"/>
      <c r="Q48" s="2505">
        <v>1</v>
      </c>
      <c r="R48" s="293"/>
      <c r="S48" s="1259" t="str">
        <f>$J48</f>
        <v>....1</v>
      </c>
      <c r="T48" s="223" t="s">
        <v>426</v>
      </c>
      <c r="U48" s="237"/>
      <c r="V48" s="2495"/>
      <c r="W48" s="2496"/>
      <c r="X48" s="2496"/>
      <c r="Y48" s="2496"/>
      <c r="Z48" s="2496"/>
      <c r="AA48" s="2496"/>
      <c r="AB48" s="2496"/>
      <c r="AC48" s="2497"/>
      <c r="AD48" s="2495"/>
      <c r="AE48" s="2496"/>
      <c r="AF48" s="2496"/>
      <c r="AG48" s="2496"/>
      <c r="AH48" s="2496"/>
      <c r="AI48" s="2496"/>
      <c r="AJ48" s="2496"/>
      <c r="AK48" s="2496"/>
      <c r="AL48" s="2497"/>
      <c r="AM48" s="1181" t="s">
        <v>427</v>
      </c>
      <c r="AO48" s="436"/>
      <c r="AP48" s="436" t="str">
        <f t="shared" si="1"/>
        <v>Группа потребителей</v>
      </c>
      <c r="AQ48" s="436"/>
      <c r="AR48" s="436"/>
      <c r="AS48" s="1078">
        <v>21</v>
      </c>
    </row>
    <row r="49" spans="1:45" ht="21.95" customHeight="1">
      <c r="A49" s="1286" t="s">
        <v>207</v>
      </c>
      <c r="B49" s="1286" t="s">
        <v>208</v>
      </c>
      <c r="C49" s="1286" t="s">
        <v>209</v>
      </c>
      <c r="D49" s="1286" t="s">
        <v>210</v>
      </c>
      <c r="E49" s="2507"/>
      <c r="F49" s="2507"/>
      <c r="G49" s="2507"/>
      <c r="H49" s="2507"/>
      <c r="I49" s="2527"/>
      <c r="J49" s="2527"/>
      <c r="K49" s="2504" t="str">
        <f>J48&amp;".1"</f>
        <v>....1.1</v>
      </c>
      <c r="L49" s="1287" t="s">
        <v>428</v>
      </c>
      <c r="P49" s="2505"/>
      <c r="Q49" s="2505"/>
      <c r="R49" s="293">
        <v>1</v>
      </c>
      <c r="S49" s="1259" t="str">
        <f>$K49</f>
        <v>....1.1</v>
      </c>
      <c r="T49" s="1270"/>
      <c r="U49" s="237"/>
      <c r="V49" s="686"/>
      <c r="W49" s="262"/>
      <c r="X49" s="686"/>
      <c r="Y49" s="1180"/>
      <c r="Z49" s="2509"/>
      <c r="AA49" s="2360" t="s">
        <v>63</v>
      </c>
      <c r="AB49" s="2509"/>
      <c r="AC49" s="2360" t="s">
        <v>63</v>
      </c>
      <c r="AD49" s="686"/>
      <c r="AE49" s="262"/>
      <c r="AF49" s="686"/>
      <c r="AG49" s="1180"/>
      <c r="AH49" s="2509"/>
      <c r="AI49" s="2360" t="s">
        <v>63</v>
      </c>
      <c r="AJ49" s="2528"/>
      <c r="AK49" s="2360" t="s">
        <v>63</v>
      </c>
      <c r="AL49" s="1271"/>
      <c r="AM49" s="2501" t="s">
        <v>466</v>
      </c>
      <c r="AN49" s="447" t="e">
        <f ca="1">STRCHECKDATE(V50:AL50)</f>
        <v>#NAME?</v>
      </c>
      <c r="AO49" s="436"/>
      <c r="AP49" s="436" t="str">
        <f t="shared" si="1"/>
        <v/>
      </c>
      <c r="AQ49" s="436"/>
      <c r="AR49" s="436"/>
      <c r="AS49" s="1078">
        <v>21</v>
      </c>
    </row>
    <row r="50" spans="1:45" ht="0" hidden="1" customHeight="1">
      <c r="A50" s="1286" t="s">
        <v>207</v>
      </c>
      <c r="B50" s="1286" t="s">
        <v>208</v>
      </c>
      <c r="C50" s="1286" t="s">
        <v>209</v>
      </c>
      <c r="D50" s="1286" t="s">
        <v>210</v>
      </c>
      <c r="E50" s="2507"/>
      <c r="F50" s="2507"/>
      <c r="G50" s="2507"/>
      <c r="H50" s="2507"/>
      <c r="I50" s="2527"/>
      <c r="J50" s="2527"/>
      <c r="K50" s="2504"/>
      <c r="L50" s="1287"/>
      <c r="P50" s="2505"/>
      <c r="Q50" s="2505"/>
      <c r="R50" s="293"/>
      <c r="S50" s="1265"/>
      <c r="T50" s="237"/>
      <c r="U50" s="237"/>
      <c r="V50" s="262"/>
      <c r="W50" s="262"/>
      <c r="X50" s="262"/>
      <c r="Y50" s="265" t="str">
        <f>Z49&amp;"-"&amp;AB49</f>
        <v>-</v>
      </c>
      <c r="Z50" s="2510"/>
      <c r="AA50" s="2360"/>
      <c r="AB50" s="2510"/>
      <c r="AC50" s="2360"/>
      <c r="AD50" s="262"/>
      <c r="AE50" s="262"/>
      <c r="AF50" s="262"/>
      <c r="AG50" s="265" t="str">
        <f>AH49&amp;"-"&amp;AJ49</f>
        <v>-</v>
      </c>
      <c r="AH50" s="2510"/>
      <c r="AI50" s="2360"/>
      <c r="AJ50" s="2529"/>
      <c r="AK50" s="2360"/>
      <c r="AL50" s="1272"/>
      <c r="AM50" s="2502"/>
      <c r="AO50" s="436"/>
      <c r="AP50" s="436" t="str">
        <f t="shared" si="1"/>
        <v/>
      </c>
      <c r="AQ50" s="436"/>
      <c r="AR50" s="436"/>
      <c r="AS50" s="1078">
        <v>0</v>
      </c>
    </row>
    <row r="51" spans="1:45" ht="11.45" customHeight="1">
      <c r="A51" s="1286" t="s">
        <v>207</v>
      </c>
      <c r="B51" s="1286" t="s">
        <v>208</v>
      </c>
      <c r="C51" s="1286" t="s">
        <v>209</v>
      </c>
      <c r="D51" s="1286" t="s">
        <v>210</v>
      </c>
      <c r="E51" s="2507"/>
      <c r="F51" s="2507"/>
      <c r="G51" s="2507"/>
      <c r="H51" s="2507"/>
      <c r="I51" s="2527"/>
      <c r="J51" s="2504"/>
      <c r="K51" s="1286"/>
      <c r="L51" s="1287"/>
      <c r="P51" s="2505"/>
      <c r="Q51" s="2505"/>
      <c r="R51" s="292"/>
      <c r="S51" s="1201"/>
      <c r="T51" s="224" t="s">
        <v>430</v>
      </c>
      <c r="U51" s="303"/>
      <c r="V51" s="303"/>
      <c r="W51" s="303"/>
      <c r="X51" s="303"/>
      <c r="Y51" s="303"/>
      <c r="Z51" s="303"/>
      <c r="AA51" s="303"/>
      <c r="AB51" s="303"/>
      <c r="AC51" s="303"/>
      <c r="AD51" s="303"/>
      <c r="AE51" s="303"/>
      <c r="AF51" s="303"/>
      <c r="AG51" s="303"/>
      <c r="AH51" s="303"/>
      <c r="AI51" s="303"/>
      <c r="AJ51" s="303"/>
      <c r="AK51" s="303"/>
      <c r="AL51" s="261"/>
      <c r="AM51" s="2503"/>
      <c r="AO51" s="436"/>
      <c r="AP51" s="436" t="str">
        <f t="shared" si="1"/>
        <v>Добавить вид теплоносителя (параметры теплоносителя)</v>
      </c>
      <c r="AQ51" s="436"/>
      <c r="AR51" s="436"/>
      <c r="AS51" s="1078">
        <v>11</v>
      </c>
    </row>
    <row r="52" spans="1:45" ht="11.45" customHeight="1">
      <c r="A52" s="1286" t="s">
        <v>207</v>
      </c>
      <c r="B52" s="1286" t="s">
        <v>208</v>
      </c>
      <c r="C52" s="1286" t="s">
        <v>209</v>
      </c>
      <c r="D52" s="1286" t="s">
        <v>210</v>
      </c>
      <c r="E52" s="2507"/>
      <c r="F52" s="2507"/>
      <c r="G52" s="2507"/>
      <c r="H52" s="2507"/>
      <c r="I52" s="2504"/>
      <c r="J52" s="1286"/>
      <c r="K52" s="1286"/>
      <c r="L52" s="1287"/>
      <c r="P52" s="2505"/>
      <c r="Q52" s="1254"/>
      <c r="R52" s="292"/>
      <c r="S52" s="1201"/>
      <c r="T52" s="301" t="s">
        <v>431</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8">
        <v>11</v>
      </c>
    </row>
    <row r="53" spans="1:45" ht="0" hidden="1" customHeight="1">
      <c r="A53" s="1286" t="s">
        <v>207</v>
      </c>
      <c r="B53" s="1286" t="s">
        <v>208</v>
      </c>
      <c r="C53" s="1286" t="s">
        <v>209</v>
      </c>
      <c r="D53" s="1286" t="s">
        <v>210</v>
      </c>
      <c r="E53" s="2507"/>
      <c r="F53" s="2507"/>
      <c r="G53" s="2507"/>
      <c r="H53" s="2506"/>
      <c r="I53" s="1286"/>
      <c r="J53" s="1286"/>
      <c r="K53" s="1286"/>
      <c r="L53" s="1287"/>
      <c r="M53" s="1288"/>
      <c r="N53" s="1288"/>
      <c r="O53" s="473"/>
      <c r="P53" s="296"/>
      <c r="Q53" s="311"/>
      <c r="R53" s="291"/>
      <c r="S53" s="1309"/>
      <c r="T53" s="1310"/>
      <c r="U53" s="1311"/>
      <c r="V53" s="1311"/>
      <c r="W53" s="1311"/>
      <c r="X53" s="1311"/>
      <c r="Y53" s="1311"/>
      <c r="Z53" s="1311"/>
      <c r="AA53" s="1311"/>
      <c r="AB53" s="1311"/>
      <c r="AC53" s="1311"/>
      <c r="AD53" s="1311"/>
      <c r="AE53" s="1311"/>
      <c r="AF53" s="1311"/>
      <c r="AG53" s="1311"/>
      <c r="AH53" s="1311"/>
      <c r="AI53" s="1311"/>
      <c r="AJ53" s="1311"/>
      <c r="AK53" s="1311"/>
      <c r="AL53" s="1311"/>
      <c r="AM53" s="1312"/>
      <c r="AO53" s="436"/>
      <c r="AP53" s="436" t="str">
        <f t="shared" si="1"/>
        <v/>
      </c>
      <c r="AQ53" s="436"/>
      <c r="AR53" s="436"/>
      <c r="AS53" s="1078">
        <v>0</v>
      </c>
    </row>
    <row r="54" spans="1:45" s="1565" customFormat="1" ht="0" hidden="1" customHeight="1">
      <c r="A54" s="1266" t="s">
        <v>207</v>
      </c>
      <c r="B54" s="1266" t="s">
        <v>208</v>
      </c>
      <c r="C54" s="1266" t="s">
        <v>209</v>
      </c>
      <c r="D54" s="1237"/>
      <c r="E54" s="2507"/>
      <c r="F54" s="2507"/>
      <c r="G54" s="2506"/>
      <c r="H54" s="1237"/>
      <c r="I54" s="1237"/>
      <c r="J54" s="1237"/>
      <c r="K54" s="1237"/>
      <c r="L54" s="1262"/>
      <c r="M54" s="1238"/>
      <c r="N54" s="1238"/>
      <c r="P54" s="1239"/>
      <c r="Q54" s="1240"/>
      <c r="R54" s="1239"/>
      <c r="S54" s="1245"/>
      <c r="T54" s="1248" t="s">
        <v>433</v>
      </c>
      <c r="U54" s="1247"/>
      <c r="V54" s="1247"/>
      <c r="W54" s="1247"/>
      <c r="X54" s="1247"/>
      <c r="Y54" s="1247"/>
      <c r="Z54" s="1247"/>
      <c r="AA54" s="1247"/>
      <c r="AB54" s="1247"/>
      <c r="AC54" s="1247"/>
      <c r="AD54" s="1247"/>
      <c r="AE54" s="1247"/>
      <c r="AF54" s="1247"/>
      <c r="AG54" s="1247"/>
      <c r="AH54" s="1247"/>
      <c r="AI54" s="1247"/>
      <c r="AJ54" s="1247"/>
      <c r="AK54" s="1247"/>
      <c r="AL54" s="1247"/>
      <c r="AM54" s="1247"/>
      <c r="AO54" s="718"/>
      <c r="AP54" s="718" t="str">
        <f t="shared" si="1"/>
        <v>Добавить источник для дифференциации</v>
      </c>
      <c r="AQ54" s="718"/>
      <c r="AR54" s="718"/>
      <c r="AS54" s="454">
        <v>0</v>
      </c>
    </row>
    <row r="55" spans="1:45" s="1565" customFormat="1" ht="0" hidden="1" customHeight="1">
      <c r="A55" s="1266" t="s">
        <v>207</v>
      </c>
      <c r="B55" s="1266" t="s">
        <v>208</v>
      </c>
      <c r="C55" s="1237"/>
      <c r="D55" s="1237"/>
      <c r="E55" s="2507"/>
      <c r="F55" s="2506"/>
      <c r="G55" s="1237"/>
      <c r="H55" s="1237"/>
      <c r="I55" s="1237"/>
      <c r="J55" s="1237"/>
      <c r="K55" s="1237"/>
      <c r="L55" s="1262"/>
      <c r="M55" s="1244"/>
      <c r="N55" s="1244"/>
      <c r="P55" s="1239"/>
      <c r="Q55" s="1240"/>
      <c r="R55" s="1239"/>
      <c r="S55" s="1245"/>
      <c r="T55" s="1248" t="s">
        <v>434</v>
      </c>
      <c r="U55" s="1247"/>
      <c r="V55" s="1247"/>
      <c r="W55" s="1247"/>
      <c r="X55" s="1247"/>
      <c r="Y55" s="1247"/>
      <c r="Z55" s="1247"/>
      <c r="AA55" s="1247"/>
      <c r="AB55" s="1247"/>
      <c r="AC55" s="1247"/>
      <c r="AD55" s="1247"/>
      <c r="AE55" s="1247"/>
      <c r="AF55" s="1247"/>
      <c r="AG55" s="1247"/>
      <c r="AH55" s="1247"/>
      <c r="AI55" s="1247"/>
      <c r="AJ55" s="1247"/>
      <c r="AK55" s="1247"/>
      <c r="AL55" s="1247"/>
      <c r="AM55" s="1247"/>
      <c r="AO55" s="718"/>
      <c r="AP55" s="718" t="str">
        <f t="shared" si="1"/>
        <v>Добавить централизованную систему для дифференциации</v>
      </c>
      <c r="AQ55" s="718"/>
      <c r="AR55" s="718"/>
      <c r="AS55" s="454">
        <v>0</v>
      </c>
    </row>
    <row r="56" spans="1:45" s="1565" customFormat="1" ht="0" hidden="1" customHeight="1">
      <c r="A56" s="1266" t="s">
        <v>207</v>
      </c>
      <c r="B56" s="1266"/>
      <c r="C56" s="1266"/>
      <c r="D56" s="1266"/>
      <c r="E56" s="2506"/>
      <c r="F56" s="1266"/>
      <c r="G56" s="1266"/>
      <c r="H56" s="1266"/>
      <c r="I56" s="1266"/>
      <c r="J56" s="1266"/>
      <c r="K56" s="1266"/>
      <c r="L56" s="1269"/>
      <c r="M56" s="1244"/>
      <c r="N56" s="1244"/>
      <c r="O56" s="454"/>
      <c r="P56" s="316"/>
      <c r="Q56" s="1267"/>
      <c r="R56" s="316"/>
      <c r="S56" s="1245"/>
      <c r="T56" s="1248" t="s">
        <v>435</v>
      </c>
      <c r="U56" s="1247"/>
      <c r="V56" s="1247"/>
      <c r="W56" s="1247"/>
      <c r="X56" s="1247"/>
      <c r="Y56" s="1247"/>
      <c r="Z56" s="1247"/>
      <c r="AA56" s="1247"/>
      <c r="AB56" s="1247"/>
      <c r="AC56" s="1247"/>
      <c r="AD56" s="1247"/>
      <c r="AE56" s="1247"/>
      <c r="AF56" s="1247"/>
      <c r="AG56" s="1247"/>
      <c r="AH56" s="1247"/>
      <c r="AI56" s="1247"/>
      <c r="AJ56" s="1247"/>
      <c r="AK56" s="1247"/>
      <c r="AL56" s="1247"/>
      <c r="AM56" s="1247"/>
      <c r="AO56" s="436"/>
      <c r="AP56" s="436" t="str">
        <f t="shared" si="1"/>
        <v>Добавить территорию для дифференциации</v>
      </c>
      <c r="AQ56" s="436"/>
      <c r="AR56" s="436"/>
      <c r="AS56" s="447">
        <v>0</v>
      </c>
    </row>
    <row r="57" spans="1:45" s="1565" customFormat="1" ht="4.1500000000000004" customHeight="1">
      <c r="A57" s="1237"/>
      <c r="B57" s="1237"/>
      <c r="C57" s="1237"/>
      <c r="D57" s="1237"/>
      <c r="E57" s="1266"/>
      <c r="F57" s="1237"/>
      <c r="G57" s="1237"/>
      <c r="H57" s="1237"/>
      <c r="I57" s="1237"/>
      <c r="J57" s="1237"/>
      <c r="K57" s="1237"/>
      <c r="L57" s="1262"/>
      <c r="M57" s="1244"/>
      <c r="N57" s="1244"/>
      <c r="P57" s="1239"/>
      <c r="Q57" s="1240"/>
      <c r="R57" s="1239"/>
      <c r="S57" s="1245"/>
      <c r="T57" s="1248" t="s">
        <v>463</v>
      </c>
      <c r="U57" s="1247"/>
      <c r="V57" s="1247"/>
      <c r="W57" s="1247"/>
      <c r="X57" s="1247"/>
      <c r="Y57" s="1247"/>
      <c r="Z57" s="1247"/>
      <c r="AA57" s="1247"/>
      <c r="AB57" s="1247"/>
      <c r="AC57" s="1247"/>
      <c r="AD57" s="1247"/>
      <c r="AE57" s="1247"/>
      <c r="AF57" s="1247"/>
      <c r="AG57" s="1247"/>
      <c r="AH57" s="1247"/>
      <c r="AI57" s="1247"/>
      <c r="AJ57" s="1247"/>
      <c r="AK57" s="1247"/>
      <c r="AL57" s="1247"/>
      <c r="AM57" s="1247"/>
      <c r="AO57" s="718"/>
      <c r="AP57" s="718" t="str">
        <f t="shared" si="1"/>
        <v>Добавить наименование тарифа</v>
      </c>
      <c r="AQ57" s="718"/>
      <c r="AR57" s="718"/>
      <c r="AS57" s="454">
        <v>4</v>
      </c>
    </row>
    <row r="58" spans="1:45" ht="11.45" customHeight="1">
      <c r="M58" s="1083"/>
      <c r="N58" s="1083"/>
      <c r="O58" s="473"/>
      <c r="P58" s="1078"/>
      <c r="Q58" s="1078"/>
      <c r="R58" s="1078"/>
      <c r="S58" s="1078"/>
      <c r="AN58" s="1078"/>
      <c r="AO58" s="1078"/>
      <c r="AP58" s="1078"/>
      <c r="AQ58" s="1078"/>
      <c r="AR58" s="1078"/>
      <c r="AS58" s="1078">
        <v>11</v>
      </c>
    </row>
    <row r="59" spans="1:45" ht="14.65" customHeight="1">
      <c r="O59" s="473"/>
      <c r="S59" s="1176"/>
      <c r="T59" s="2526"/>
      <c r="U59" s="2526"/>
      <c r="V59" s="2526"/>
      <c r="W59" s="2526"/>
      <c r="X59" s="2526"/>
      <c r="Y59" s="2526"/>
      <c r="Z59" s="2526"/>
      <c r="AA59" s="2526"/>
      <c r="AB59" s="2526"/>
      <c r="AC59" s="2526"/>
      <c r="AD59" s="2526"/>
      <c r="AE59" s="2526"/>
      <c r="AF59" s="2526"/>
      <c r="AG59" s="2526"/>
      <c r="AH59" s="2526"/>
      <c r="AI59" s="2526"/>
      <c r="AJ59" s="2526"/>
      <c r="AK59" s="2526"/>
      <c r="AL59" s="2526"/>
      <c r="AM59" s="2526"/>
      <c r="AS59" s="1078">
        <v>14</v>
      </c>
    </row>
    <row r="60" spans="1:45" ht="14.65" customHeight="1">
      <c r="O60" s="473"/>
      <c r="T60" s="2526"/>
      <c r="U60" s="2526"/>
      <c r="V60" s="2526"/>
      <c r="W60" s="2526"/>
      <c r="X60" s="2526"/>
      <c r="Y60" s="2526"/>
      <c r="Z60" s="2526"/>
      <c r="AA60" s="2526"/>
      <c r="AB60" s="2526"/>
      <c r="AC60" s="2526"/>
      <c r="AD60" s="2526"/>
      <c r="AE60" s="2526"/>
      <c r="AF60" s="2526"/>
      <c r="AG60" s="2526"/>
      <c r="AH60" s="2526"/>
      <c r="AI60" s="2526"/>
      <c r="AJ60" s="2526"/>
      <c r="AK60" s="2526"/>
      <c r="AL60" s="2526"/>
      <c r="AM60" s="2526"/>
      <c r="AS60" s="1078">
        <v>14</v>
      </c>
    </row>
    <row r="61" spans="1:45" ht="14.65" customHeight="1">
      <c r="O61" s="473"/>
      <c r="T61" s="2526"/>
      <c r="U61" s="2526"/>
      <c r="V61" s="2526"/>
      <c r="W61" s="2526"/>
      <c r="X61" s="2526"/>
      <c r="Y61" s="2526"/>
      <c r="Z61" s="2526"/>
      <c r="AA61" s="2526"/>
      <c r="AB61" s="2526"/>
      <c r="AC61" s="2526"/>
      <c r="AD61" s="2526"/>
      <c r="AE61" s="2526"/>
      <c r="AF61" s="2526"/>
      <c r="AG61" s="2526"/>
      <c r="AH61" s="2526"/>
      <c r="AI61" s="2526"/>
      <c r="AJ61" s="2526"/>
      <c r="AK61" s="2526"/>
      <c r="AL61" s="2526"/>
      <c r="AM61" s="2526"/>
      <c r="AS61" s="1078">
        <v>14</v>
      </c>
    </row>
    <row r="62" spans="1:45" ht="14.65" customHeight="1">
      <c r="O62" s="473"/>
      <c r="AS62" s="1078">
        <v>14</v>
      </c>
    </row>
    <row r="63" spans="1:45" ht="14.65" customHeight="1">
      <c r="O63" s="473"/>
      <c r="S63" s="1176"/>
      <c r="T63" s="2434"/>
      <c r="U63" s="2526"/>
      <c r="V63" s="2526"/>
      <c r="W63" s="2526"/>
      <c r="X63" s="2526"/>
      <c r="Y63" s="2526"/>
      <c r="Z63" s="2526"/>
      <c r="AA63" s="2526"/>
      <c r="AB63" s="2526"/>
      <c r="AC63" s="2526"/>
      <c r="AD63" s="2526"/>
      <c r="AE63" s="2526"/>
      <c r="AF63" s="2526"/>
      <c r="AG63" s="2526"/>
      <c r="AH63" s="2526"/>
      <c r="AI63" s="2526"/>
      <c r="AJ63" s="2526"/>
      <c r="AK63" s="2526"/>
      <c r="AL63" s="2526"/>
      <c r="AM63" s="2526"/>
      <c r="AS63" s="1078">
        <v>14</v>
      </c>
    </row>
    <row r="64" spans="1:45" ht="14.65" customHeight="1">
      <c r="O64" s="473"/>
      <c r="T64" s="2526"/>
      <c r="U64" s="2526"/>
      <c r="V64" s="2526"/>
      <c r="W64" s="2526"/>
      <c r="X64" s="2526"/>
      <c r="Y64" s="2526"/>
      <c r="Z64" s="2526"/>
      <c r="AA64" s="2526"/>
      <c r="AB64" s="2526"/>
      <c r="AC64" s="2526"/>
      <c r="AD64" s="2526"/>
      <c r="AE64" s="2526"/>
      <c r="AF64" s="2526"/>
      <c r="AG64" s="2526"/>
      <c r="AH64" s="2526"/>
      <c r="AI64" s="2526"/>
      <c r="AJ64" s="2526"/>
      <c r="AK64" s="2526"/>
      <c r="AL64" s="2526"/>
      <c r="AM64" s="2526"/>
      <c r="AS64" s="1078">
        <v>14</v>
      </c>
    </row>
    <row r="65" spans="1:45" ht="14.65" customHeight="1">
      <c r="T65" s="2526"/>
      <c r="U65" s="2526"/>
      <c r="V65" s="2526"/>
      <c r="W65" s="2526"/>
      <c r="X65" s="2526"/>
      <c r="Y65" s="2526"/>
      <c r="Z65" s="2526"/>
      <c r="AA65" s="2526"/>
      <c r="AB65" s="2526"/>
      <c r="AC65" s="2526"/>
      <c r="AD65" s="2526"/>
      <c r="AE65" s="2526"/>
      <c r="AF65" s="2526"/>
      <c r="AG65" s="2526"/>
      <c r="AH65" s="2526"/>
      <c r="AI65" s="2526"/>
      <c r="AJ65" s="2526"/>
      <c r="AK65" s="2526"/>
      <c r="AL65" s="2526"/>
      <c r="AM65" s="2526"/>
      <c r="AS65" s="1078">
        <v>14</v>
      </c>
    </row>
    <row r="66" spans="1:45" ht="22.5" hidden="1" customHeight="1">
      <c r="A66" s="1083" t="s">
        <v>83</v>
      </c>
      <c r="B66" s="1083">
        <v>0</v>
      </c>
      <c r="C66" s="1083">
        <v>0</v>
      </c>
      <c r="D66" s="1083">
        <v>0</v>
      </c>
      <c r="E66" s="1083">
        <v>0</v>
      </c>
      <c r="F66" s="1083">
        <v>0</v>
      </c>
      <c r="G66" s="1083">
        <v>0</v>
      </c>
      <c r="H66" s="1083">
        <v>0</v>
      </c>
      <c r="I66" s="1083">
        <v>0</v>
      </c>
      <c r="J66" s="1083">
        <v>0</v>
      </c>
      <c r="K66" s="1083">
        <v>0</v>
      </c>
      <c r="L66" s="1252">
        <v>0</v>
      </c>
      <c r="M66" s="1285">
        <v>0</v>
      </c>
      <c r="N66" s="1285">
        <v>0</v>
      </c>
      <c r="O66" s="1285">
        <v>0</v>
      </c>
      <c r="P66" s="1251">
        <v>0</v>
      </c>
      <c r="Q66" s="281">
        <v>3</v>
      </c>
      <c r="R66" s="281">
        <v>3</v>
      </c>
      <c r="S66" s="517">
        <v>12</v>
      </c>
      <c r="T66" s="1078">
        <v>31</v>
      </c>
      <c r="U66" s="1078">
        <v>0</v>
      </c>
      <c r="V66" s="1078">
        <v>0</v>
      </c>
      <c r="W66" s="1078">
        <v>0</v>
      </c>
      <c r="X66" s="1078">
        <v>0</v>
      </c>
      <c r="Y66" s="1078">
        <v>0</v>
      </c>
      <c r="Z66" s="1078">
        <v>0</v>
      </c>
      <c r="AA66" s="1078">
        <v>0</v>
      </c>
      <c r="AB66" s="1078">
        <v>0</v>
      </c>
      <c r="AC66" s="1078">
        <v>0</v>
      </c>
      <c r="AD66" s="1078">
        <v>24</v>
      </c>
      <c r="AE66" s="1078">
        <v>0</v>
      </c>
      <c r="AF66" s="1078">
        <v>24</v>
      </c>
      <c r="AG66" s="1078">
        <v>24</v>
      </c>
      <c r="AH66" s="1078">
        <v>11</v>
      </c>
      <c r="AI66" s="1078">
        <v>3</v>
      </c>
      <c r="AJ66" s="1078">
        <v>11</v>
      </c>
      <c r="AK66" s="1078">
        <v>0</v>
      </c>
      <c r="AL66" s="1078">
        <v>4</v>
      </c>
      <c r="AM66" s="1078">
        <v>115</v>
      </c>
      <c r="AN66" s="447">
        <v>10</v>
      </c>
      <c r="AO66" s="447">
        <v>10</v>
      </c>
      <c r="AP66" s="447">
        <v>10</v>
      </c>
      <c r="AQ66" s="447">
        <v>10</v>
      </c>
      <c r="AR66" s="447">
        <v>10</v>
      </c>
      <c r="AS66" s="1078">
        <v>23</v>
      </c>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558" hidden="1"/>
    <col min="2" max="2" width="11" style="1558" hidden="1" customWidth="1"/>
    <col min="3" max="3" width="10.5703125" style="1558" hidden="1"/>
    <col min="4" max="4" width="11.85546875" style="1558" hidden="1" customWidth="1"/>
    <col min="5" max="5" width="10" style="1558" hidden="1" customWidth="1"/>
    <col min="6" max="6" width="8.7109375" style="1558" hidden="1" customWidth="1"/>
    <col min="7" max="7" width="7.5703125" style="1558" hidden="1" customWidth="1"/>
    <col min="8" max="8" width="11.42578125" style="1558" hidden="1" customWidth="1"/>
    <col min="9" max="9" width="12" style="1558" hidden="1" customWidth="1"/>
    <col min="10" max="10" width="9.85546875" style="1558" hidden="1" customWidth="1"/>
    <col min="11" max="12" width="11.42578125" style="1558" hidden="1" customWidth="1"/>
    <col min="13" max="13" width="19.140625" style="2015" hidden="1" customWidth="1"/>
    <col min="14" max="15" width="12.28515625" style="2032" hidden="1" customWidth="1"/>
    <col min="16" max="16" width="23.42578125" style="2032" hidden="1" customWidth="1"/>
    <col min="17" max="17" width="3.7109375" style="2032" hidden="1" customWidth="1"/>
    <col min="18" max="20" width="3" style="281" customWidth="1"/>
    <col min="21" max="21" width="12" style="2033" customWidth="1"/>
    <col min="22" max="22" width="31" style="1558" customWidth="1"/>
    <col min="23" max="23" width="0.140625" style="1558" customWidth="1"/>
    <col min="24" max="28" width="21.7109375" style="1558" hidden="1" customWidth="1"/>
    <col min="29" max="29" width="11.7109375" style="1558" hidden="1" customWidth="1"/>
    <col min="30" max="30" width="3.7109375" style="1558" hidden="1" customWidth="1"/>
    <col min="31" max="31" width="11.7109375" style="1558" hidden="1" customWidth="1"/>
    <col min="32" max="32" width="8.5703125" style="1558" hidden="1" customWidth="1"/>
    <col min="33" max="33" width="21.7109375" style="1558" customWidth="1"/>
    <col min="34" max="37" width="21" style="1558" customWidth="1"/>
    <col min="38" max="38" width="11" style="1558" customWidth="1"/>
    <col min="39" max="39" width="3.7109375" style="1558" customWidth="1"/>
    <col min="40" max="40" width="11" style="1558" customWidth="1"/>
    <col min="41" max="41" width="8.5703125" style="1558" hidden="1" customWidth="1"/>
    <col min="42" max="42" width="4" style="1558" customWidth="1"/>
    <col min="43" max="43" width="115" style="1558" customWidth="1"/>
    <col min="44" max="48" width="10" style="1565" customWidth="1"/>
    <col min="49" max="49" width="10.5703125" style="1558" hidden="1"/>
  </cols>
  <sheetData>
    <row r="1" spans="1:49" ht="22.5" hidden="1" customHeight="1">
      <c r="AB1" s="264"/>
      <c r="AC1" s="264"/>
      <c r="AK1" s="264"/>
      <c r="AL1" s="264"/>
      <c r="AW1" s="1078" t="s">
        <v>14</v>
      </c>
    </row>
    <row r="2" spans="1:49" ht="21" hidden="1" customHeight="1">
      <c r="A2" s="1190"/>
      <c r="B2" s="1190"/>
      <c r="C2" s="1190"/>
      <c r="D2" s="1190"/>
      <c r="E2" s="2530">
        <v>1</v>
      </c>
      <c r="F2" s="1190"/>
      <c r="G2" s="1190"/>
      <c r="H2" s="1190"/>
      <c r="I2" s="1190"/>
      <c r="J2" s="1190"/>
      <c r="K2" s="1190"/>
      <c r="L2" s="1190"/>
      <c r="M2" s="1233"/>
      <c r="N2" s="624"/>
      <c r="O2" s="624"/>
      <c r="P2" s="624"/>
      <c r="Q2" s="297"/>
      <c r="R2" s="296"/>
      <c r="S2" s="296"/>
      <c r="T2" s="291"/>
      <c r="U2" s="1259" t="e">
        <f>INDEX(PT_DIFFERENTIATION_NUM_NTAR,MATCH(A2,PT_DIFFERENTIATION_NTAR_ID,0))</f>
        <v>#N/A</v>
      </c>
      <c r="V2" s="235" t="s">
        <v>144</v>
      </c>
      <c r="W2" s="237"/>
      <c r="X2" s="2492"/>
      <c r="Y2" s="2493"/>
      <c r="Z2" s="2493"/>
      <c r="AA2" s="2493"/>
      <c r="AB2" s="2493"/>
      <c r="AC2" s="2493"/>
      <c r="AD2" s="2493"/>
      <c r="AE2" s="2493"/>
      <c r="AF2" s="2494"/>
      <c r="AG2" s="2492" t="e">
        <f>INDEX(PT_DIFFERENTIATION_NTAR,MATCH(A2,PT_DIFFERENTIATION_NTAR_ID,0))</f>
        <v>#N/A</v>
      </c>
      <c r="AH2" s="2493"/>
      <c r="AI2" s="2493"/>
      <c r="AJ2" s="2493"/>
      <c r="AK2" s="2493"/>
      <c r="AL2" s="2493"/>
      <c r="AM2" s="2493"/>
      <c r="AN2" s="2493"/>
      <c r="AO2" s="2493"/>
      <c r="AP2" s="2494"/>
      <c r="AQ2" s="1181" t="s">
        <v>415</v>
      </c>
      <c r="AS2" s="436"/>
      <c r="AT2" s="436" t="str">
        <f t="shared" ref="AT2:AT8" si="0">IF(V2="","",V2)</f>
        <v>Наименование тарифа</v>
      </c>
      <c r="AU2" s="436"/>
      <c r="AV2" s="436"/>
      <c r="AW2" s="1078">
        <v>0</v>
      </c>
    </row>
    <row r="3" spans="1:49" ht="21" hidden="1" customHeight="1">
      <c r="A3" s="1190"/>
      <c r="B3" s="1190"/>
      <c r="C3" s="1190"/>
      <c r="D3" s="1190"/>
      <c r="E3" s="2531"/>
      <c r="F3" s="2530">
        <v>1</v>
      </c>
      <c r="G3" s="1190"/>
      <c r="H3" s="1190"/>
      <c r="I3" s="1190"/>
      <c r="J3" s="1190"/>
      <c r="K3" s="1190"/>
      <c r="L3" s="1190"/>
      <c r="M3" s="1233"/>
      <c r="N3" s="624"/>
      <c r="O3" s="624"/>
      <c r="P3" s="624"/>
      <c r="Q3" s="1255"/>
      <c r="R3" s="288"/>
      <c r="S3" s="445"/>
      <c r="T3" s="289"/>
      <c r="U3" s="1259" t="e">
        <f>INDEX(PT_DIFFERENTIATION_NUM_TER,MATCH(B3,PT_DIFFERENTIATION_TER_ID,0))</f>
        <v>#N/A</v>
      </c>
      <c r="V3" s="245" t="s">
        <v>416</v>
      </c>
      <c r="W3" s="237"/>
      <c r="X3" s="2492"/>
      <c r="Y3" s="2493"/>
      <c r="Z3" s="2493"/>
      <c r="AA3" s="2493"/>
      <c r="AB3" s="2493"/>
      <c r="AC3" s="2493"/>
      <c r="AD3" s="2493"/>
      <c r="AE3" s="2493"/>
      <c r="AF3" s="2494"/>
      <c r="AG3" s="2492" t="e">
        <f>INDEX(PT_DIFFERENTIATION_TER,MATCH(B3,PT_DIFFERENTIATION_TER_ID,0))</f>
        <v>#N/A</v>
      </c>
      <c r="AH3" s="2493"/>
      <c r="AI3" s="2493"/>
      <c r="AJ3" s="2493"/>
      <c r="AK3" s="2493"/>
      <c r="AL3" s="2493"/>
      <c r="AM3" s="2493"/>
      <c r="AN3" s="2493"/>
      <c r="AO3" s="2493"/>
      <c r="AP3" s="2494"/>
      <c r="AQ3" s="1181" t="s">
        <v>417</v>
      </c>
      <c r="AS3" s="436"/>
      <c r="AT3" s="436" t="str">
        <f t="shared" si="0"/>
        <v>Территория действия тарифа</v>
      </c>
      <c r="AU3" s="436"/>
      <c r="AV3" s="436"/>
      <c r="AW3" s="1078">
        <v>0</v>
      </c>
    </row>
    <row r="4" spans="1:49" ht="22.5" hidden="1" customHeight="1">
      <c r="A4" s="1190"/>
      <c r="B4" s="1190"/>
      <c r="C4" s="1190"/>
      <c r="D4" s="1190"/>
      <c r="E4" s="2531"/>
      <c r="F4" s="2531"/>
      <c r="G4" s="2530">
        <v>1</v>
      </c>
      <c r="H4" s="1190"/>
      <c r="I4" s="1190"/>
      <c r="J4" s="1190"/>
      <c r="K4" s="1190"/>
      <c r="L4" s="1190"/>
      <c r="M4" s="1233"/>
      <c r="N4" s="624"/>
      <c r="O4" s="624"/>
      <c r="P4" s="624"/>
      <c r="Q4" s="290"/>
      <c r="R4" s="288"/>
      <c r="S4" s="445"/>
      <c r="T4" s="289"/>
      <c r="U4" s="1259" t="e">
        <f>INDEX(PT_DIFFERENTIATION_NUM_CS,MATCH(C4,PT_DIFFERENTIATION_CS_ID,0))</f>
        <v>#N/A</v>
      </c>
      <c r="V4" s="246" t="s">
        <v>418</v>
      </c>
      <c r="W4" s="237"/>
      <c r="X4" s="2492"/>
      <c r="Y4" s="2493"/>
      <c r="Z4" s="2493"/>
      <c r="AA4" s="2493"/>
      <c r="AB4" s="2493"/>
      <c r="AC4" s="2493"/>
      <c r="AD4" s="2493"/>
      <c r="AE4" s="2493"/>
      <c r="AF4" s="2494"/>
      <c r="AG4" s="2492" t="e">
        <f>INDEX(PT_DIFFERENTIATION_CS,MATCH(C4,PT_DIFFERENTIATION_CS_ID,0))</f>
        <v>#N/A</v>
      </c>
      <c r="AH4" s="2493"/>
      <c r="AI4" s="2493"/>
      <c r="AJ4" s="2493"/>
      <c r="AK4" s="2493"/>
      <c r="AL4" s="2493"/>
      <c r="AM4" s="2493"/>
      <c r="AN4" s="2493"/>
      <c r="AO4" s="2493"/>
      <c r="AP4" s="2494"/>
      <c r="AQ4" s="1181" t="s">
        <v>419</v>
      </c>
      <c r="AS4" s="436"/>
      <c r="AT4" s="436" t="str">
        <f t="shared" si="0"/>
        <v xml:space="preserve">Наименование системы теплоснабжения </v>
      </c>
      <c r="AU4" s="436"/>
      <c r="AV4" s="436"/>
      <c r="AW4" s="1078">
        <v>0</v>
      </c>
    </row>
    <row r="5" spans="1:49" ht="21" hidden="1" customHeight="1">
      <c r="A5" s="1190"/>
      <c r="B5" s="1190"/>
      <c r="C5" s="1190"/>
      <c r="D5" s="1190"/>
      <c r="E5" s="2531"/>
      <c r="F5" s="2531"/>
      <c r="G5" s="2531"/>
      <c r="H5" s="2530">
        <v>1</v>
      </c>
      <c r="I5" s="1190"/>
      <c r="J5" s="1190"/>
      <c r="K5" s="1190"/>
      <c r="L5" s="1190"/>
      <c r="M5" s="1233"/>
      <c r="N5" s="624"/>
      <c r="O5" s="624"/>
      <c r="P5" s="624"/>
      <c r="Q5" s="290"/>
      <c r="R5" s="288"/>
      <c r="S5" s="445"/>
      <c r="T5" s="289"/>
      <c r="U5" s="1259" t="e">
        <f>INDEX(PT_DIFFERENTIATION_NUM_IST_TE,MATCH(D5,PT_DIFFERENTIATION_IST_TE_ID,0))</f>
        <v>#N/A</v>
      </c>
      <c r="V5" s="247" t="s">
        <v>420</v>
      </c>
      <c r="W5" s="237"/>
      <c r="X5" s="2492"/>
      <c r="Y5" s="2493"/>
      <c r="Z5" s="2493"/>
      <c r="AA5" s="2493"/>
      <c r="AB5" s="2493"/>
      <c r="AC5" s="2493"/>
      <c r="AD5" s="2493"/>
      <c r="AE5" s="2493"/>
      <c r="AF5" s="2494"/>
      <c r="AG5" s="2492" t="e">
        <f>INDEX(PT_DIFFERENTIATION_IST_TE,MATCH(D5,PT_DIFFERENTIATION_IST_TE_ID,0))</f>
        <v>#N/A</v>
      </c>
      <c r="AH5" s="2493"/>
      <c r="AI5" s="2493"/>
      <c r="AJ5" s="2493"/>
      <c r="AK5" s="2493"/>
      <c r="AL5" s="2493"/>
      <c r="AM5" s="2493"/>
      <c r="AN5" s="2493"/>
      <c r="AO5" s="2493"/>
      <c r="AP5" s="2494"/>
      <c r="AQ5" s="1181" t="s">
        <v>421</v>
      </c>
      <c r="AS5" s="436"/>
      <c r="AT5" s="436" t="str">
        <f t="shared" si="0"/>
        <v xml:space="preserve">Источник тепловой энергии  </v>
      </c>
      <c r="AU5" s="436"/>
      <c r="AV5" s="436"/>
      <c r="AW5" s="1078">
        <v>0</v>
      </c>
    </row>
    <row r="6" spans="1:49" ht="14.25" hidden="1" customHeight="1">
      <c r="A6" s="1190"/>
      <c r="B6" s="1190"/>
      <c r="C6" s="1190"/>
      <c r="D6" s="1190"/>
      <c r="E6" s="2531"/>
      <c r="F6" s="2531"/>
      <c r="G6" s="2531"/>
      <c r="H6" s="2531"/>
      <c r="I6" s="2371" t="e">
        <f>U5&amp;".1"</f>
        <v>#N/A</v>
      </c>
      <c r="J6" s="1190"/>
      <c r="K6" s="1190"/>
      <c r="L6" s="1190"/>
      <c r="M6" s="1233" t="s">
        <v>422</v>
      </c>
      <c r="N6" s="445"/>
      <c r="Q6" s="2505">
        <v>1</v>
      </c>
      <c r="R6" s="1254"/>
      <c r="S6" s="1254"/>
      <c r="T6" s="292"/>
      <c r="U6" s="969"/>
      <c r="V6" s="1306"/>
      <c r="W6" s="1307"/>
      <c r="X6" s="2535"/>
      <c r="Y6" s="2536"/>
      <c r="Z6" s="2536"/>
      <c r="AA6" s="2536"/>
      <c r="AB6" s="2536"/>
      <c r="AC6" s="2536"/>
      <c r="AD6" s="2536"/>
      <c r="AE6" s="2536"/>
      <c r="AF6" s="2537"/>
      <c r="AG6" s="2535"/>
      <c r="AH6" s="2536"/>
      <c r="AI6" s="2536"/>
      <c r="AJ6" s="2536"/>
      <c r="AK6" s="2536"/>
      <c r="AL6" s="2536"/>
      <c r="AM6" s="2536"/>
      <c r="AN6" s="2536"/>
      <c r="AO6" s="2536"/>
      <c r="AP6" s="2537"/>
      <c r="AQ6" s="1308"/>
      <c r="AS6" s="436"/>
      <c r="AT6" s="436" t="str">
        <f t="shared" si="0"/>
        <v/>
      </c>
      <c r="AU6" s="436"/>
      <c r="AV6" s="436"/>
      <c r="AW6" s="1078">
        <v>0</v>
      </c>
    </row>
    <row r="7" spans="1:49" ht="21" hidden="1" customHeight="1">
      <c r="A7" s="1190"/>
      <c r="B7" s="1190"/>
      <c r="C7" s="1190"/>
      <c r="D7" s="1190"/>
      <c r="E7" s="2531"/>
      <c r="F7" s="2531"/>
      <c r="G7" s="2531"/>
      <c r="H7" s="2531"/>
      <c r="I7" s="2350"/>
      <c r="J7" s="2371" t="e">
        <f>I6&amp;".1"</f>
        <v>#N/A</v>
      </c>
      <c r="K7" s="1190"/>
      <c r="L7" s="1190"/>
      <c r="M7" s="1233" t="s">
        <v>425</v>
      </c>
      <c r="N7" s="445"/>
      <c r="O7" s="264"/>
      <c r="Q7" s="2505"/>
      <c r="R7" s="2505">
        <v>1</v>
      </c>
      <c r="S7" s="454"/>
      <c r="T7" s="293"/>
      <c r="U7" s="1259" t="e">
        <f>$J7</f>
        <v>#N/A</v>
      </c>
      <c r="V7" s="223" t="s">
        <v>426</v>
      </c>
      <c r="W7" s="237"/>
      <c r="X7" s="2495"/>
      <c r="Y7" s="2496"/>
      <c r="Z7" s="2496"/>
      <c r="AA7" s="2496"/>
      <c r="AB7" s="2496"/>
      <c r="AC7" s="2488"/>
      <c r="AD7" s="2488"/>
      <c r="AE7" s="2488"/>
      <c r="AF7" s="2545"/>
      <c r="AG7" s="2495"/>
      <c r="AH7" s="2496"/>
      <c r="AI7" s="2496"/>
      <c r="AJ7" s="2496"/>
      <c r="AK7" s="2496"/>
      <c r="AL7" s="2496"/>
      <c r="AM7" s="2496"/>
      <c r="AN7" s="2496"/>
      <c r="AO7" s="2496"/>
      <c r="AP7" s="2497"/>
      <c r="AQ7" s="1181" t="s">
        <v>427</v>
      </c>
      <c r="AS7" s="436"/>
      <c r="AT7" s="436" t="str">
        <f t="shared" si="0"/>
        <v>Группа потребителей</v>
      </c>
      <c r="AU7" s="436"/>
      <c r="AV7" s="436"/>
      <c r="AW7" s="1078">
        <v>0</v>
      </c>
    </row>
    <row r="8" spans="1:49" ht="21" hidden="1" customHeight="1">
      <c r="A8" s="1190"/>
      <c r="B8" s="1190"/>
      <c r="C8" s="1190"/>
      <c r="D8" s="1190"/>
      <c r="E8" s="2531"/>
      <c r="F8" s="2531"/>
      <c r="G8" s="2531"/>
      <c r="H8" s="2531"/>
      <c r="I8" s="2350"/>
      <c r="J8" s="2350"/>
      <c r="K8" s="2371" t="e">
        <f>J7&amp;".1"</f>
        <v>#N/A</v>
      </c>
      <c r="L8" s="77"/>
      <c r="M8" s="1233" t="s">
        <v>428</v>
      </c>
      <c r="N8" s="445"/>
      <c r="O8" s="264"/>
      <c r="P8" s="264"/>
      <c r="Q8" s="2505"/>
      <c r="R8" s="2505"/>
      <c r="S8" s="2505">
        <v>1</v>
      </c>
      <c r="T8" s="293"/>
      <c r="U8" s="1259" t="e">
        <f>$K8</f>
        <v>#N/A</v>
      </c>
      <c r="V8" s="1270"/>
      <c r="W8" s="237"/>
      <c r="X8" s="686"/>
      <c r="Y8" s="686"/>
      <c r="Z8" s="686"/>
      <c r="AA8" s="686"/>
      <c r="AB8" s="1328"/>
      <c r="AC8" s="2509"/>
      <c r="AD8" s="2360" t="s">
        <v>63</v>
      </c>
      <c r="AE8" s="2509"/>
      <c r="AF8" s="2360" t="s">
        <v>63</v>
      </c>
      <c r="AG8" s="1330"/>
      <c r="AH8" s="686"/>
      <c r="AI8" s="686"/>
      <c r="AJ8" s="686"/>
      <c r="AK8" s="1180"/>
      <c r="AL8" s="2509"/>
      <c r="AM8" s="2360" t="s">
        <v>63</v>
      </c>
      <c r="AN8" s="2509"/>
      <c r="AO8" s="2360" t="s">
        <v>63</v>
      </c>
      <c r="AP8" s="262"/>
      <c r="AQ8" s="1230" t="s">
        <v>467</v>
      </c>
      <c r="AR8" s="447" t="e">
        <f ca="1">STRCHECKDATE(X10:AP10)</f>
        <v>#NAME?</v>
      </c>
      <c r="AS8" s="436"/>
      <c r="AT8" s="436" t="str">
        <f t="shared" si="0"/>
        <v/>
      </c>
      <c r="AU8" s="436"/>
      <c r="AV8" s="436"/>
      <c r="AW8" s="1078">
        <v>0</v>
      </c>
    </row>
    <row r="9" spans="1:49" ht="21" hidden="1" customHeight="1">
      <c r="A9" s="1190"/>
      <c r="B9" s="1190"/>
      <c r="C9" s="1190"/>
      <c r="D9" s="1190"/>
      <c r="E9" s="2531"/>
      <c r="F9" s="2531"/>
      <c r="G9" s="2531"/>
      <c r="H9" s="2531"/>
      <c r="I9" s="2350"/>
      <c r="J9" s="2350"/>
      <c r="K9" s="2350"/>
      <c r="L9" s="2371" t="e">
        <f>K8&amp;".1"</f>
        <v>#N/A</v>
      </c>
      <c r="M9" s="1233"/>
      <c r="N9" s="445"/>
      <c r="O9" s="264"/>
      <c r="P9" s="264"/>
      <c r="Q9" s="2505"/>
      <c r="R9" s="2505"/>
      <c r="S9" s="2505"/>
      <c r="T9" s="293"/>
      <c r="U9" s="1259" t="e">
        <f>$L9</f>
        <v>#N/A</v>
      </c>
      <c r="V9" s="1314"/>
      <c r="W9" s="237"/>
      <c r="X9" s="262"/>
      <c r="Y9" s="686"/>
      <c r="Z9" s="686"/>
      <c r="AA9" s="686"/>
      <c r="AB9" s="1328"/>
      <c r="AC9" s="2510"/>
      <c r="AD9" s="2360"/>
      <c r="AE9" s="2510"/>
      <c r="AF9" s="2360"/>
      <c r="AG9" s="1330"/>
      <c r="AH9" s="686"/>
      <c r="AI9" s="686"/>
      <c r="AJ9" s="686"/>
      <c r="AK9" s="1180"/>
      <c r="AL9" s="2510"/>
      <c r="AM9" s="2360"/>
      <c r="AN9" s="2510"/>
      <c r="AO9" s="2360"/>
      <c r="AP9" s="262"/>
      <c r="AQ9" s="2501" t="s">
        <v>468</v>
      </c>
      <c r="AS9" s="436"/>
      <c r="AT9" s="436"/>
      <c r="AU9" s="436"/>
      <c r="AV9" s="436"/>
      <c r="AW9" s="1078">
        <v>0</v>
      </c>
    </row>
    <row r="10" spans="1:49" ht="14.25" hidden="1" customHeight="1">
      <c r="A10" s="1190"/>
      <c r="B10" s="1190"/>
      <c r="C10" s="1190"/>
      <c r="D10" s="1190"/>
      <c r="E10" s="2531"/>
      <c r="F10" s="2531"/>
      <c r="G10" s="2531"/>
      <c r="H10" s="2531"/>
      <c r="I10" s="2350"/>
      <c r="J10" s="2350"/>
      <c r="K10" s="2350"/>
      <c r="L10" s="2371"/>
      <c r="M10" s="1233"/>
      <c r="N10" s="445"/>
      <c r="O10" s="264"/>
      <c r="P10" s="264"/>
      <c r="Q10" s="2505"/>
      <c r="R10" s="2505"/>
      <c r="S10" s="2505"/>
      <c r="T10" s="293"/>
      <c r="U10" s="1265"/>
      <c r="V10" s="237"/>
      <c r="W10" s="237"/>
      <c r="X10" s="262"/>
      <c r="Y10" s="262"/>
      <c r="Z10" s="262"/>
      <c r="AA10" s="262"/>
      <c r="AB10" s="1329" t="str">
        <f>AC8&amp;"-"&amp;AE8</f>
        <v>-</v>
      </c>
      <c r="AC10" s="2510"/>
      <c r="AD10" s="2360"/>
      <c r="AE10" s="2510"/>
      <c r="AF10" s="2360"/>
      <c r="AG10" s="1305"/>
      <c r="AH10" s="262"/>
      <c r="AI10" s="262"/>
      <c r="AJ10" s="262"/>
      <c r="AK10" s="265" t="str">
        <f>AL8&amp;"-"&amp;AN8</f>
        <v>-</v>
      </c>
      <c r="AL10" s="2510"/>
      <c r="AM10" s="2360"/>
      <c r="AN10" s="2510"/>
      <c r="AO10" s="2360"/>
      <c r="AP10" s="262"/>
      <c r="AQ10" s="2502"/>
      <c r="AS10" s="436"/>
      <c r="AT10" s="436" t="str">
        <f>IF(V10="","",V10)</f>
        <v/>
      </c>
      <c r="AU10" s="436"/>
      <c r="AV10" s="436"/>
      <c r="AW10" s="1078">
        <v>0</v>
      </c>
    </row>
    <row r="11" spans="1:49" ht="11.25" hidden="1" customHeight="1">
      <c r="A11" s="1190"/>
      <c r="B11" s="1190"/>
      <c r="C11" s="1190"/>
      <c r="D11" s="1190"/>
      <c r="E11" s="2531"/>
      <c r="F11" s="2531"/>
      <c r="G11" s="2531"/>
      <c r="H11" s="2531"/>
      <c r="I11" s="2350"/>
      <c r="J11" s="2350"/>
      <c r="K11" s="2371"/>
      <c r="L11" s="1190"/>
      <c r="M11" s="1233"/>
      <c r="N11" s="445"/>
      <c r="O11" s="264"/>
      <c r="P11" s="264"/>
      <c r="Q11" s="2505"/>
      <c r="R11" s="2505"/>
      <c r="S11" s="2505"/>
      <c r="T11" s="293"/>
      <c r="U11" s="1201"/>
      <c r="V11" s="225" t="s">
        <v>469</v>
      </c>
      <c r="W11" s="1315"/>
      <c r="X11" s="1316"/>
      <c r="Y11" s="1316"/>
      <c r="Z11" s="1316"/>
      <c r="AA11" s="1316"/>
      <c r="AB11" s="1317"/>
      <c r="AC11" s="2510"/>
      <c r="AD11" s="2360"/>
      <c r="AE11" s="2510"/>
      <c r="AF11" s="2360"/>
      <c r="AG11" s="1316"/>
      <c r="AH11" s="1316"/>
      <c r="AI11" s="1316"/>
      <c r="AJ11" s="1316"/>
      <c r="AK11" s="1317"/>
      <c r="AL11" s="2510"/>
      <c r="AM11" s="2360"/>
      <c r="AN11" s="2510"/>
      <c r="AO11" s="2360"/>
      <c r="AP11" s="1318"/>
      <c r="AQ11" s="2502"/>
      <c r="AS11" s="436"/>
      <c r="AT11" s="436"/>
      <c r="AU11" s="436"/>
      <c r="AV11" s="436"/>
      <c r="AW11" s="1078">
        <v>0</v>
      </c>
    </row>
    <row r="12" spans="1:49" ht="15" hidden="1" customHeight="1">
      <c r="A12" s="1190"/>
      <c r="B12" s="1190"/>
      <c r="C12" s="1190"/>
      <c r="D12" s="1190"/>
      <c r="E12" s="2531"/>
      <c r="F12" s="2531"/>
      <c r="G12" s="2531"/>
      <c r="H12" s="2531"/>
      <c r="I12" s="2350"/>
      <c r="J12" s="2371"/>
      <c r="K12" s="1190"/>
      <c r="L12" s="1190"/>
      <c r="M12" s="1233"/>
      <c r="N12" s="445"/>
      <c r="O12" s="264"/>
      <c r="Q12" s="2505"/>
      <c r="R12" s="2505"/>
      <c r="S12" s="1254"/>
      <c r="T12" s="292"/>
      <c r="U12" s="1201"/>
      <c r="V12" s="224" t="s">
        <v>430</v>
      </c>
      <c r="W12" s="303"/>
      <c r="X12" s="303"/>
      <c r="Y12" s="303"/>
      <c r="Z12" s="303"/>
      <c r="AA12" s="303"/>
      <c r="AB12" s="303"/>
      <c r="AC12" s="1331"/>
      <c r="AD12" s="1331"/>
      <c r="AE12" s="1331"/>
      <c r="AF12" s="1331"/>
      <c r="AG12" s="303"/>
      <c r="AH12" s="303"/>
      <c r="AI12" s="303"/>
      <c r="AJ12" s="303"/>
      <c r="AK12" s="303"/>
      <c r="AL12" s="303"/>
      <c r="AM12" s="303"/>
      <c r="AN12" s="303"/>
      <c r="AO12" s="303"/>
      <c r="AP12" s="261"/>
      <c r="AQ12" s="2503"/>
      <c r="AS12" s="436"/>
      <c r="AT12" s="436" t="str">
        <f t="shared" ref="AT12:AT17" si="1">IF(V12="","",V12)</f>
        <v>Добавить вид теплоносителя (параметры теплоносителя)</v>
      </c>
      <c r="AU12" s="436"/>
      <c r="AV12" s="436"/>
      <c r="AW12" s="1078">
        <v>0</v>
      </c>
    </row>
    <row r="13" spans="1:49" ht="11.25" hidden="1" customHeight="1">
      <c r="A13" s="1190"/>
      <c r="B13" s="1190"/>
      <c r="C13" s="1190"/>
      <c r="D13" s="1190"/>
      <c r="E13" s="2531"/>
      <c r="F13" s="2531"/>
      <c r="G13" s="2531"/>
      <c r="H13" s="2531"/>
      <c r="I13" s="2371"/>
      <c r="J13" s="1190"/>
      <c r="K13" s="1190"/>
      <c r="L13" s="1190"/>
      <c r="M13" s="1233"/>
      <c r="N13" s="445"/>
      <c r="Q13" s="2505"/>
      <c r="R13" s="1254"/>
      <c r="S13" s="1254"/>
      <c r="T13" s="292"/>
      <c r="U13" s="1201"/>
      <c r="V13" s="301" t="s">
        <v>431</v>
      </c>
      <c r="W13" s="303"/>
      <c r="X13" s="303"/>
      <c r="Y13" s="303"/>
      <c r="Z13" s="303"/>
      <c r="AA13" s="303"/>
      <c r="AB13" s="303"/>
      <c r="AC13" s="303"/>
      <c r="AD13" s="303"/>
      <c r="AE13" s="303"/>
      <c r="AF13" s="302"/>
      <c r="AG13" s="303"/>
      <c r="AH13" s="303"/>
      <c r="AI13" s="303"/>
      <c r="AJ13" s="303"/>
      <c r="AK13" s="303"/>
      <c r="AL13" s="303"/>
      <c r="AM13" s="303"/>
      <c r="AN13" s="303"/>
      <c r="AO13" s="302"/>
      <c r="AP13" s="303"/>
      <c r="AQ13" s="240"/>
      <c r="AS13" s="436"/>
      <c r="AT13" s="436" t="str">
        <f t="shared" si="1"/>
        <v>Добавить группу потребителей</v>
      </c>
      <c r="AU13" s="436"/>
      <c r="AV13" s="436"/>
      <c r="AW13" s="1078">
        <v>0</v>
      </c>
    </row>
    <row r="14" spans="1:49" ht="14.25" hidden="1" customHeight="1">
      <c r="A14" s="1190"/>
      <c r="B14" s="1190"/>
      <c r="C14" s="1190"/>
      <c r="D14" s="1190"/>
      <c r="E14" s="2531"/>
      <c r="F14" s="2531"/>
      <c r="G14" s="2531"/>
      <c r="H14" s="2530"/>
      <c r="I14" s="1190"/>
      <c r="J14" s="1190"/>
      <c r="K14" s="1190"/>
      <c r="L14" s="1190"/>
      <c r="M14" s="1233"/>
      <c r="N14" s="624"/>
      <c r="O14" s="624"/>
      <c r="P14" s="445"/>
      <c r="Q14" s="296"/>
      <c r="R14" s="311"/>
      <c r="S14" s="291"/>
      <c r="T14" s="296"/>
      <c r="U14" s="1309"/>
      <c r="V14" s="1310"/>
      <c r="W14" s="1311"/>
      <c r="X14" s="1311"/>
      <c r="Y14" s="1311"/>
      <c r="Z14" s="1311"/>
      <c r="AA14" s="1311"/>
      <c r="AB14" s="1311"/>
      <c r="AC14" s="1311"/>
      <c r="AD14" s="1311"/>
      <c r="AE14" s="1311"/>
      <c r="AF14" s="1311"/>
      <c r="AG14" s="1311"/>
      <c r="AH14" s="1311"/>
      <c r="AI14" s="1311"/>
      <c r="AJ14" s="1311"/>
      <c r="AK14" s="1311"/>
      <c r="AL14" s="1311"/>
      <c r="AM14" s="1311"/>
      <c r="AN14" s="1311"/>
      <c r="AO14" s="1311"/>
      <c r="AP14" s="1311"/>
      <c r="AQ14" s="1312"/>
      <c r="AS14" s="436"/>
      <c r="AT14" s="436" t="str">
        <f t="shared" si="1"/>
        <v/>
      </c>
      <c r="AU14" s="436"/>
      <c r="AV14" s="436"/>
      <c r="AW14" s="1078">
        <v>0</v>
      </c>
    </row>
    <row r="15" spans="1:49" s="1565" customFormat="1" ht="14.25" hidden="1" customHeight="1">
      <c r="A15" s="1297"/>
      <c r="B15" s="1297"/>
      <c r="C15" s="1297"/>
      <c r="D15" s="1297"/>
      <c r="E15" s="2531"/>
      <c r="F15" s="2531"/>
      <c r="G15" s="2530"/>
      <c r="H15" s="1297"/>
      <c r="I15" s="1297"/>
      <c r="J15" s="1297"/>
      <c r="K15" s="1297"/>
      <c r="L15" s="1297"/>
      <c r="M15" s="1300"/>
      <c r="N15" s="1301"/>
      <c r="O15" s="1301"/>
      <c r="P15" s="287"/>
      <c r="Q15" s="1239"/>
      <c r="R15" s="1240"/>
      <c r="S15" s="1239"/>
      <c r="T15" s="1239"/>
      <c r="U15" s="1241"/>
      <c r="V15" s="1242" t="s">
        <v>433</v>
      </c>
      <c r="W15" s="1243"/>
      <c r="X15" s="1243"/>
      <c r="Y15" s="1243"/>
      <c r="Z15" s="1243"/>
      <c r="AA15" s="1243"/>
      <c r="AB15" s="1243"/>
      <c r="AC15" s="1243"/>
      <c r="AD15" s="1243"/>
      <c r="AE15" s="1243"/>
      <c r="AF15" s="1243"/>
      <c r="AG15" s="1243"/>
      <c r="AH15" s="1243"/>
      <c r="AI15" s="1243"/>
      <c r="AJ15" s="1243"/>
      <c r="AK15" s="1243"/>
      <c r="AL15" s="1243"/>
      <c r="AM15" s="1243"/>
      <c r="AN15" s="1243"/>
      <c r="AO15" s="1243"/>
      <c r="AP15" s="1243"/>
      <c r="AQ15" s="1243"/>
      <c r="AS15" s="718"/>
      <c r="AT15" s="718" t="str">
        <f t="shared" si="1"/>
        <v>Добавить источник для дифференциации</v>
      </c>
      <c r="AU15" s="718"/>
      <c r="AV15" s="718"/>
      <c r="AW15" s="454">
        <v>0</v>
      </c>
    </row>
    <row r="16" spans="1:49" s="1565" customFormat="1" ht="14.25" hidden="1" customHeight="1">
      <c r="A16" s="1297"/>
      <c r="B16" s="1297"/>
      <c r="C16" s="1297"/>
      <c r="D16" s="1297"/>
      <c r="E16" s="2531"/>
      <c r="F16" s="2530"/>
      <c r="G16" s="1297"/>
      <c r="H16" s="1297"/>
      <c r="I16" s="1297"/>
      <c r="J16" s="1297"/>
      <c r="K16" s="1297"/>
      <c r="L16" s="1297"/>
      <c r="M16" s="1300"/>
      <c r="N16" s="1302"/>
      <c r="O16" s="1302"/>
      <c r="P16" s="287"/>
      <c r="Q16" s="1239"/>
      <c r="R16" s="1240"/>
      <c r="S16" s="1239"/>
      <c r="T16" s="1239"/>
      <c r="U16" s="1245"/>
      <c r="V16" s="1246" t="s">
        <v>434</v>
      </c>
      <c r="W16" s="1247"/>
      <c r="X16" s="1247"/>
      <c r="Y16" s="1247"/>
      <c r="Z16" s="1247"/>
      <c r="AA16" s="1247"/>
      <c r="AB16" s="1247"/>
      <c r="AC16" s="1247"/>
      <c r="AD16" s="1247"/>
      <c r="AE16" s="1247"/>
      <c r="AF16" s="1247"/>
      <c r="AG16" s="1247"/>
      <c r="AH16" s="1247"/>
      <c r="AI16" s="1247"/>
      <c r="AJ16" s="1247"/>
      <c r="AK16" s="1247"/>
      <c r="AL16" s="1247"/>
      <c r="AM16" s="1247"/>
      <c r="AN16" s="1247"/>
      <c r="AO16" s="1247"/>
      <c r="AP16" s="1247"/>
      <c r="AQ16" s="1247"/>
      <c r="AS16" s="718"/>
      <c r="AT16" s="718" t="str">
        <f t="shared" si="1"/>
        <v>Добавить централизованную систему для дифференциации</v>
      </c>
      <c r="AU16" s="718"/>
      <c r="AV16" s="718"/>
      <c r="AW16" s="454">
        <v>0</v>
      </c>
    </row>
    <row r="17" spans="1:49" s="1565" customFormat="1" ht="14.25" hidden="1" customHeight="1">
      <c r="A17" s="1297"/>
      <c r="B17" s="1297"/>
      <c r="C17" s="1297"/>
      <c r="D17" s="1297"/>
      <c r="E17" s="2530"/>
      <c r="F17" s="1297"/>
      <c r="G17" s="1297"/>
      <c r="H17" s="1297"/>
      <c r="I17" s="1297"/>
      <c r="J17" s="1297"/>
      <c r="K17" s="1297"/>
      <c r="L17" s="1297"/>
      <c r="M17" s="1300"/>
      <c r="N17" s="1302"/>
      <c r="O17" s="1302"/>
      <c r="P17" s="287"/>
      <c r="Q17" s="1239"/>
      <c r="R17" s="1240"/>
      <c r="S17" s="1239"/>
      <c r="T17" s="1239"/>
      <c r="U17" s="1245"/>
      <c r="V17" s="1248" t="s">
        <v>435</v>
      </c>
      <c r="W17" s="1247"/>
      <c r="X17" s="1247"/>
      <c r="Y17" s="1247"/>
      <c r="Z17" s="1247"/>
      <c r="AA17" s="1247"/>
      <c r="AB17" s="1247"/>
      <c r="AC17" s="1247"/>
      <c r="AD17" s="1247"/>
      <c r="AE17" s="1247"/>
      <c r="AF17" s="1247"/>
      <c r="AG17" s="1247"/>
      <c r="AH17" s="1247"/>
      <c r="AI17" s="1247"/>
      <c r="AJ17" s="1247"/>
      <c r="AK17" s="1247"/>
      <c r="AL17" s="1247"/>
      <c r="AM17" s="1247"/>
      <c r="AN17" s="1247"/>
      <c r="AO17" s="1247"/>
      <c r="AP17" s="1247"/>
      <c r="AQ17" s="1247"/>
      <c r="AS17" s="718"/>
      <c r="AT17" s="718" t="str">
        <f t="shared" si="1"/>
        <v>Добавить территорию для дифференциации</v>
      </c>
      <c r="AU17" s="718"/>
      <c r="AV17" s="718"/>
      <c r="AW17" s="454">
        <v>0</v>
      </c>
    </row>
    <row r="18" spans="1:49" ht="14.25" hidden="1" customHeight="1">
      <c r="AF18" s="264"/>
      <c r="AO18" s="264"/>
      <c r="AW18" s="1078">
        <v>0</v>
      </c>
    </row>
    <row r="19" spans="1:49" ht="14.25" hidden="1" customHeight="1">
      <c r="AG19" s="1283"/>
      <c r="AH19" s="1283"/>
      <c r="AI19" s="1283"/>
      <c r="AJ19" s="1283"/>
      <c r="AK19" s="1284"/>
      <c r="AL19" s="2511"/>
      <c r="AM19" s="2512" t="s">
        <v>63</v>
      </c>
      <c r="AN19" s="2511"/>
      <c r="AO19" s="2512" t="s">
        <v>63</v>
      </c>
      <c r="AW19" s="1078">
        <v>0</v>
      </c>
    </row>
    <row r="20" spans="1:49" ht="14.25" hidden="1" customHeight="1">
      <c r="AG20" s="1283"/>
      <c r="AH20" s="1283"/>
      <c r="AI20" s="1283"/>
      <c r="AJ20" s="1283"/>
      <c r="AK20" s="1284"/>
      <c r="AL20" s="2511"/>
      <c r="AM20" s="2512"/>
      <c r="AN20" s="2511"/>
      <c r="AO20" s="2512"/>
      <c r="AW20" s="1078">
        <v>0</v>
      </c>
    </row>
    <row r="21" spans="1:49" ht="14.25" hidden="1" customHeight="1">
      <c r="AG21" s="1283"/>
      <c r="AH21" s="1283"/>
      <c r="AI21" s="1283"/>
      <c r="AJ21" s="1283"/>
      <c r="AK21" s="1284"/>
      <c r="AL21" s="2511"/>
      <c r="AM21" s="2512"/>
      <c r="AN21" s="2511"/>
      <c r="AO21" s="2512"/>
      <c r="AW21" s="1078">
        <v>0</v>
      </c>
    </row>
    <row r="22" spans="1:49" ht="14.25" hidden="1" customHeight="1">
      <c r="AG22" s="1283"/>
      <c r="AH22" s="1283"/>
      <c r="AI22" s="1283"/>
      <c r="AJ22" s="1283"/>
      <c r="AK22" s="265" t="str">
        <f>AL19&amp;"-"&amp;AN19</f>
        <v>-</v>
      </c>
      <c r="AL22" s="2512"/>
      <c r="AM22" s="2512"/>
      <c r="AN22" s="2512"/>
      <c r="AO22" s="2512"/>
      <c r="AW22" s="1078">
        <v>0</v>
      </c>
    </row>
    <row r="23" spans="1:49" ht="14.25" hidden="1" customHeight="1">
      <c r="AO23" s="264"/>
      <c r="AW23" s="1078">
        <v>0</v>
      </c>
    </row>
    <row r="24" spans="1:49" s="1289" customFormat="1" ht="22.5" hidden="1" customHeight="1">
      <c r="A24" s="1078"/>
      <c r="B24" s="1078"/>
      <c r="C24" s="1078"/>
      <c r="D24" s="1078"/>
      <c r="E24" s="1078"/>
      <c r="F24" s="1078"/>
      <c r="G24" s="1078"/>
      <c r="H24" s="1078"/>
      <c r="I24" s="1078"/>
      <c r="J24" s="1078"/>
      <c r="K24" s="1078"/>
      <c r="L24" s="1078"/>
      <c r="M24" s="1250"/>
      <c r="N24" s="1251"/>
      <c r="O24" s="1251"/>
      <c r="P24" s="1268" t="s">
        <v>436</v>
      </c>
      <c r="Q24" s="1285"/>
      <c r="R24" s="1294"/>
      <c r="S24" s="1294"/>
      <c r="T24" s="1294"/>
      <c r="U24" s="665"/>
      <c r="AC24" s="1290"/>
      <c r="AE24" s="1290"/>
      <c r="AL24" s="1290"/>
      <c r="AN24" s="1290"/>
      <c r="AR24" s="447"/>
      <c r="AS24" s="447"/>
      <c r="AT24" s="447"/>
      <c r="AU24" s="447"/>
      <c r="AV24" s="447"/>
      <c r="AW24" s="1083">
        <v>0</v>
      </c>
    </row>
    <row r="25" spans="1:49" s="1289" customFormat="1" ht="14.25" hidden="1" customHeight="1">
      <c r="A25" s="1078"/>
      <c r="B25" s="1078"/>
      <c r="C25" s="1078"/>
      <c r="D25" s="1078"/>
      <c r="E25" s="1078"/>
      <c r="F25" s="1078"/>
      <c r="G25" s="1078"/>
      <c r="H25" s="1078"/>
      <c r="I25" s="1078"/>
      <c r="J25" s="1078"/>
      <c r="K25" s="1078"/>
      <c r="L25" s="1078"/>
      <c r="M25" s="1250"/>
      <c r="N25" s="1251"/>
      <c r="O25" s="1251"/>
      <c r="P25" s="1251"/>
      <c r="Q25" s="1285"/>
      <c r="R25" s="1294"/>
      <c r="S25" s="1294"/>
      <c r="T25" s="1294"/>
      <c r="U25" s="665"/>
      <c r="AR25" s="447"/>
      <c r="AS25" s="447"/>
      <c r="AT25" s="447"/>
      <c r="AU25" s="447"/>
      <c r="AV25" s="447"/>
      <c r="AW25" s="1083">
        <v>0</v>
      </c>
    </row>
    <row r="26" spans="1:49" s="1289" customFormat="1" ht="14.25" hidden="1" customHeight="1">
      <c r="A26" s="1078"/>
      <c r="B26" s="1078"/>
      <c r="C26" s="1078"/>
      <c r="D26" s="1078"/>
      <c r="E26" s="1078"/>
      <c r="F26" s="1078"/>
      <c r="G26" s="1078"/>
      <c r="H26" s="1078"/>
      <c r="I26" s="1078"/>
      <c r="J26" s="1078"/>
      <c r="K26" s="1078"/>
      <c r="L26" s="1078"/>
      <c r="M26" s="1250"/>
      <c r="N26" s="1251"/>
      <c r="O26" s="1251"/>
      <c r="P26" s="1233" t="s">
        <v>437</v>
      </c>
      <c r="Q26" s="1285"/>
      <c r="R26" s="1294"/>
      <c r="S26" s="1294"/>
      <c r="T26" s="1294"/>
      <c r="U26" s="665"/>
      <c r="V26" s="1083" t="s">
        <v>438</v>
      </c>
      <c r="AD26" s="123" t="s">
        <v>439</v>
      </c>
      <c r="AF26" s="123" t="s">
        <v>440</v>
      </c>
      <c r="AG26" s="1083" t="s">
        <v>438</v>
      </c>
      <c r="AM26" s="123" t="s">
        <v>441</v>
      </c>
      <c r="AO26" s="123" t="s">
        <v>440</v>
      </c>
      <c r="AR26" s="447"/>
      <c r="AS26" s="447"/>
      <c r="AT26" s="447"/>
      <c r="AU26" s="447"/>
      <c r="AV26" s="447"/>
      <c r="AW26" s="1083">
        <v>0</v>
      </c>
    </row>
    <row r="27" spans="1:49" ht="14.25" hidden="1" customHeight="1">
      <c r="P27" s="1233"/>
      <c r="AW27" s="1078">
        <v>0</v>
      </c>
    </row>
    <row r="28" spans="1:49" ht="14.25" hidden="1" customHeight="1">
      <c r="P28" s="1233"/>
      <c r="AW28" s="1078">
        <v>0</v>
      </c>
    </row>
    <row r="29" spans="1:49" ht="14.65" customHeight="1">
      <c r="R29" s="312"/>
      <c r="S29" s="312"/>
      <c r="T29" s="312"/>
      <c r="U29" s="1198"/>
      <c r="V29" s="299"/>
      <c r="W29" s="299"/>
      <c r="X29" s="445"/>
      <c r="Y29" s="445"/>
      <c r="Z29" s="445"/>
      <c r="AA29" s="445"/>
      <c r="AB29" s="445"/>
      <c r="AC29" s="445"/>
      <c r="AD29" s="445"/>
      <c r="AE29" s="445"/>
      <c r="AF29" s="445"/>
      <c r="AG29" s="445"/>
      <c r="AH29" s="445"/>
      <c r="AI29" s="445"/>
      <c r="AJ29" s="445"/>
      <c r="AK29" s="445"/>
      <c r="AL29" s="445"/>
      <c r="AM29" s="445"/>
      <c r="AN29" s="445"/>
      <c r="AO29" s="445"/>
      <c r="AW29" s="1078">
        <v>14</v>
      </c>
    </row>
    <row r="30" spans="1:49" ht="56.65" customHeight="1">
      <c r="R30" s="312"/>
      <c r="S30" s="312"/>
      <c r="T30" s="312"/>
      <c r="U30" s="249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490"/>
      <c r="W30" s="2490"/>
      <c r="X30" s="2490"/>
      <c r="Y30" s="2490"/>
      <c r="Z30" s="2490"/>
      <c r="AA30" s="2490"/>
      <c r="AB30" s="2490"/>
      <c r="AC30" s="2490"/>
      <c r="AD30" s="2490"/>
      <c r="AE30" s="2490"/>
      <c r="AF30" s="2490"/>
      <c r="AG30" s="2490"/>
      <c r="AH30" s="2490"/>
      <c r="AI30" s="2490"/>
      <c r="AJ30" s="2490"/>
      <c r="AK30" s="2490"/>
      <c r="AL30" s="2490"/>
      <c r="AM30" s="2490"/>
      <c r="AN30" s="2490"/>
      <c r="AO30" s="1166"/>
      <c r="AW30" s="1078">
        <v>54</v>
      </c>
    </row>
    <row r="31" spans="1:49" ht="14.65" customHeight="1">
      <c r="R31" s="312"/>
      <c r="S31" s="312"/>
      <c r="T31" s="312"/>
      <c r="U31" s="2436" t="str">
        <f>IF(org=0,"Не определено",org)</f>
        <v>ПАО "ТГК-2"</v>
      </c>
      <c r="V31" s="2436"/>
      <c r="W31" s="2436"/>
      <c r="X31" s="2436"/>
      <c r="Y31" s="2436"/>
      <c r="Z31" s="2436"/>
      <c r="AA31" s="2436"/>
      <c r="AB31" s="2436"/>
      <c r="AC31" s="2436"/>
      <c r="AD31" s="2436"/>
      <c r="AE31" s="2436"/>
      <c r="AF31" s="2436"/>
      <c r="AG31" s="2436"/>
      <c r="AH31" s="2436"/>
      <c r="AI31" s="2436"/>
      <c r="AJ31" s="2436"/>
      <c r="AK31" s="2436"/>
      <c r="AL31" s="2436"/>
      <c r="AM31" s="2436"/>
      <c r="AN31" s="2436"/>
      <c r="AO31" s="1166"/>
      <c r="AW31" s="1078">
        <v>14</v>
      </c>
    </row>
    <row r="32" spans="1:49" ht="14.25" hidden="1" customHeight="1">
      <c r="R32" s="312"/>
      <c r="S32" s="312"/>
      <c r="T32" s="312"/>
      <c r="U32" s="1198"/>
      <c r="V32" s="299"/>
      <c r="W32" s="299"/>
      <c r="X32" s="259"/>
      <c r="Y32" s="259"/>
      <c r="Z32" s="259"/>
      <c r="AA32" s="259"/>
      <c r="AB32" s="259"/>
      <c r="AC32" s="259"/>
      <c r="AD32" s="259"/>
      <c r="AE32" s="259"/>
      <c r="AF32" s="259"/>
      <c r="AG32" s="259"/>
      <c r="AH32" s="259"/>
      <c r="AI32" s="259"/>
      <c r="AJ32" s="259"/>
      <c r="AK32" s="259"/>
      <c r="AL32" s="259"/>
      <c r="AM32" s="259"/>
      <c r="AN32" s="259"/>
      <c r="AO32" s="259"/>
      <c r="AP32" s="445"/>
      <c r="AW32" s="1078">
        <v>0</v>
      </c>
    </row>
    <row r="33" spans="1:49" s="1770" customFormat="1" ht="25.5" hidden="1" customHeight="1">
      <c r="A33" s="1171"/>
      <c r="B33" s="1171"/>
      <c r="C33" s="1171"/>
      <c r="D33" s="1171"/>
      <c r="E33" s="1171"/>
      <c r="F33" s="1171"/>
      <c r="G33" s="1171"/>
      <c r="H33" s="1171"/>
      <c r="I33" s="1171"/>
      <c r="J33" s="1171"/>
      <c r="K33" s="1171"/>
      <c r="L33" s="1171"/>
      <c r="M33" s="1303"/>
      <c r="N33" s="1171"/>
      <c r="O33" s="1171"/>
      <c r="P33" s="1171"/>
      <c r="U33" s="249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V33" s="2498"/>
      <c r="W33" s="1295"/>
      <c r="X33" s="2499" t="str">
        <f>IF(TITLE_NAME_OR_PR_CHANGE="",IF(TITLE_NAME_OR_PR="","",TITLE_NAME_OR_PR),TITLE_NAME_OR_PR_CHANGE)</f>
        <v/>
      </c>
      <c r="Y33" s="2499"/>
      <c r="Z33" s="2499"/>
      <c r="AA33" s="2499"/>
      <c r="AB33" s="2499"/>
      <c r="AC33" s="2499"/>
      <c r="AD33" s="2499"/>
      <c r="AE33" s="2499"/>
      <c r="AF33" s="263"/>
      <c r="AG33" s="2499" t="str">
        <f>IF(TITLE_NAME_OR_PR_CHANGE="",IF(TITLE_NAME_OR_PR="","",TITLE_NAME_OR_PR),TITLE_NAME_OR_PR_CHANGE)</f>
        <v/>
      </c>
      <c r="AH33" s="2499"/>
      <c r="AI33" s="2499"/>
      <c r="AJ33" s="2499"/>
      <c r="AK33" s="2499"/>
      <c r="AL33" s="2499"/>
      <c r="AM33" s="2499"/>
      <c r="AN33" s="2499"/>
      <c r="AO33" s="263"/>
      <c r="AP33" s="263"/>
      <c r="AQ33" s="217"/>
      <c r="AR33" s="304"/>
      <c r="AS33" s="304"/>
      <c r="AT33" s="304"/>
      <c r="AU33" s="304"/>
      <c r="AV33" s="304"/>
      <c r="AW33" s="354">
        <v>0</v>
      </c>
    </row>
    <row r="34" spans="1:49" s="1770" customFormat="1" ht="18.75" hidden="1" customHeight="1">
      <c r="A34" s="1171"/>
      <c r="B34" s="1171"/>
      <c r="C34" s="1171"/>
      <c r="D34" s="1171"/>
      <c r="E34" s="1171"/>
      <c r="F34" s="1171"/>
      <c r="G34" s="1171"/>
      <c r="H34" s="1171"/>
      <c r="I34" s="1171"/>
      <c r="J34" s="1171"/>
      <c r="K34" s="1171"/>
      <c r="L34" s="1171"/>
      <c r="M34" s="1303"/>
      <c r="N34" s="1171"/>
      <c r="O34" s="1171"/>
      <c r="P34" s="1171"/>
      <c r="U34" s="2498" t="str">
        <f>"Дата документа об "&amp;IF(TITLE_DATE_PR_CHANGE="","утверждении","изменении")&amp;" тарифов"</f>
        <v>Дата документа об утверждении тарифов</v>
      </c>
      <c r="V34" s="2498"/>
      <c r="W34" s="1295"/>
      <c r="X34" s="2508" t="str">
        <f>IF(TITLE_DATE_PR_CHANGE="",IF(TITLE_DATE_PR="","",TITLE_DATE_PR),TITLE_DATE_PR_CHANGE)</f>
        <v/>
      </c>
      <c r="Y34" s="2508"/>
      <c r="Z34" s="2508"/>
      <c r="AA34" s="2508"/>
      <c r="AB34" s="2508"/>
      <c r="AC34" s="2508"/>
      <c r="AD34" s="2508"/>
      <c r="AE34" s="2508"/>
      <c r="AF34" s="263"/>
      <c r="AG34" s="2508" t="str">
        <f>IF(TITLE_DATE_PR_CHANGE="",IF(TITLE_DATE_PR="","",TITLE_DATE_PR),TITLE_DATE_PR_CHANGE)</f>
        <v/>
      </c>
      <c r="AH34" s="2508"/>
      <c r="AI34" s="2508"/>
      <c r="AJ34" s="2508"/>
      <c r="AK34" s="2508"/>
      <c r="AL34" s="2508"/>
      <c r="AM34" s="2508"/>
      <c r="AN34" s="2508"/>
      <c r="AO34" s="263"/>
      <c r="AP34" s="263"/>
      <c r="AQ34" s="217"/>
      <c r="AR34" s="304"/>
      <c r="AS34" s="304"/>
      <c r="AT34" s="304"/>
      <c r="AU34" s="304"/>
      <c r="AV34" s="304"/>
      <c r="AW34" s="354">
        <v>0</v>
      </c>
    </row>
    <row r="35" spans="1:49" s="1770" customFormat="1" ht="18.75" hidden="1" customHeight="1">
      <c r="A35" s="1171"/>
      <c r="B35" s="1171"/>
      <c r="C35" s="1171"/>
      <c r="D35" s="1171"/>
      <c r="E35" s="1171"/>
      <c r="F35" s="1171"/>
      <c r="G35" s="1171"/>
      <c r="H35" s="1171"/>
      <c r="I35" s="1171"/>
      <c r="J35" s="1171"/>
      <c r="K35" s="1171"/>
      <c r="L35" s="1171"/>
      <c r="M35" s="1303"/>
      <c r="N35" s="1171"/>
      <c r="O35" s="1171"/>
      <c r="P35" s="1171"/>
      <c r="U35" s="2498" t="str">
        <f>"Номер документа об "&amp;IF(TITLE_DATE_PR_CHANGE="","утверждении","изменении")&amp;" тарифов"</f>
        <v>Номер документа об утверждении тарифов</v>
      </c>
      <c r="V35" s="2498"/>
      <c r="W35" s="1295"/>
      <c r="X35" s="2499" t="str">
        <f>IF(TITLE_NUMBER_PR_CHANGE="",IF(TITLE_NUMBER_PR="","",TITLE_NUMBER_PR),TITLE_NUMBER_PR_CHANGE)</f>
        <v/>
      </c>
      <c r="Y35" s="2499"/>
      <c r="Z35" s="2499"/>
      <c r="AA35" s="2499"/>
      <c r="AB35" s="2499"/>
      <c r="AC35" s="2499"/>
      <c r="AD35" s="2499"/>
      <c r="AE35" s="2499"/>
      <c r="AF35" s="263"/>
      <c r="AG35" s="2499" t="str">
        <f>IF(TITLE_NUMBER_PR_CHANGE="",IF(TITLE_NUMBER_PR="","",TITLE_NUMBER_PR),TITLE_NUMBER_PR_CHANGE)</f>
        <v/>
      </c>
      <c r="AH35" s="2499"/>
      <c r="AI35" s="2499"/>
      <c r="AJ35" s="2499"/>
      <c r="AK35" s="2499"/>
      <c r="AL35" s="2499"/>
      <c r="AM35" s="2499"/>
      <c r="AN35" s="2499"/>
      <c r="AO35" s="263"/>
      <c r="AP35" s="263"/>
      <c r="AQ35" s="217"/>
      <c r="AR35" s="304"/>
      <c r="AS35" s="304"/>
      <c r="AT35" s="304"/>
      <c r="AU35" s="304"/>
      <c r="AV35" s="304"/>
      <c r="AW35" s="354">
        <v>0</v>
      </c>
    </row>
    <row r="36" spans="1:49" s="1770" customFormat="1" ht="18.75" hidden="1" customHeight="1">
      <c r="A36" s="1171"/>
      <c r="B36" s="1171"/>
      <c r="C36" s="1171"/>
      <c r="D36" s="1171"/>
      <c r="E36" s="1171"/>
      <c r="F36" s="1171"/>
      <c r="G36" s="1171"/>
      <c r="H36" s="1171"/>
      <c r="I36" s="1171"/>
      <c r="J36" s="1171"/>
      <c r="K36" s="1171"/>
      <c r="L36" s="1171"/>
      <c r="M36" s="1303"/>
      <c r="N36" s="1171"/>
      <c r="O36" s="1171"/>
      <c r="P36" s="1171"/>
      <c r="U36" s="2498" t="s">
        <v>43</v>
      </c>
      <c r="V36" s="2498"/>
      <c r="W36" s="1295"/>
      <c r="X36" s="2499" t="str">
        <f>IF(TITLE_IST_PUB_CHANGE="",IF(TITLE_IST_PUB="","",TITLE_IST_PUB),TITLE_IST_PUB_CHANGE)</f>
        <v/>
      </c>
      <c r="Y36" s="2499"/>
      <c r="Z36" s="2499"/>
      <c r="AA36" s="2499"/>
      <c r="AB36" s="2499"/>
      <c r="AC36" s="2499"/>
      <c r="AD36" s="2499"/>
      <c r="AE36" s="2499"/>
      <c r="AF36" s="263"/>
      <c r="AG36" s="2499" t="str">
        <f>IF(TITLE_IST_PUB_CHANGE="",IF(TITLE_IST_PUB="","",TITLE_IST_PUB),TITLE_IST_PUB_CHANGE)</f>
        <v/>
      </c>
      <c r="AH36" s="2499"/>
      <c r="AI36" s="2499"/>
      <c r="AJ36" s="2499"/>
      <c r="AK36" s="2499"/>
      <c r="AL36" s="2499"/>
      <c r="AM36" s="2499"/>
      <c r="AN36" s="2499"/>
      <c r="AO36" s="263"/>
      <c r="AP36" s="263"/>
      <c r="AQ36" s="217"/>
      <c r="AR36" s="304"/>
      <c r="AS36" s="304"/>
      <c r="AT36" s="304"/>
      <c r="AU36" s="304"/>
      <c r="AV36" s="304"/>
      <c r="AW36" s="354">
        <v>0</v>
      </c>
    </row>
    <row r="37" spans="1:49" ht="14.25" hidden="1" customHeight="1">
      <c r="R37" s="312"/>
      <c r="S37" s="312"/>
      <c r="T37" s="312"/>
      <c r="U37" s="1198"/>
      <c r="V37" s="393"/>
      <c r="W37" s="299"/>
      <c r="X37" s="259"/>
      <c r="Y37" s="259"/>
      <c r="Z37" s="259"/>
      <c r="AA37" s="259"/>
      <c r="AB37" s="259"/>
      <c r="AC37" s="259"/>
      <c r="AD37" s="259"/>
      <c r="AE37" s="259"/>
      <c r="AF37" s="259"/>
      <c r="AG37" s="259"/>
      <c r="AH37" s="259"/>
      <c r="AI37" s="259"/>
      <c r="AJ37" s="259"/>
      <c r="AK37" s="259"/>
      <c r="AL37" s="259"/>
      <c r="AM37" s="259"/>
      <c r="AN37" s="259"/>
      <c r="AO37" s="259"/>
      <c r="AP37" s="445"/>
      <c r="AW37" s="1078">
        <v>0</v>
      </c>
    </row>
    <row r="38" spans="1:49" s="1770" customFormat="1" ht="18.75" hidden="1" customHeight="1">
      <c r="A38" s="1171"/>
      <c r="B38" s="1171"/>
      <c r="C38" s="1171"/>
      <c r="D38" s="1171"/>
      <c r="E38" s="1171"/>
      <c r="F38" s="1171"/>
      <c r="G38" s="1171"/>
      <c r="H38" s="1171"/>
      <c r="I38" s="1171"/>
      <c r="J38" s="1171"/>
      <c r="K38" s="1171"/>
      <c r="L38" s="1171"/>
      <c r="M38" s="1303"/>
      <c r="N38" s="1171"/>
      <c r="O38" s="1171"/>
      <c r="P38" s="1171"/>
      <c r="U38" s="2498" t="str">
        <f>"Дата подачи заявления об "&amp;IF(TITLE_DATE_PR_CHANGE="","утверждении","изменении")&amp;" тарифов"</f>
        <v>Дата подачи заявления об утверждении тарифов</v>
      </c>
      <c r="V38" s="2498"/>
      <c r="W38" s="1295"/>
      <c r="X38" s="2508" t="str">
        <f>IF(TITLE_DATE_PR_CHANGE="",IF(TITLE_DATE_PR="","",TITLE_DATE_PR),TITLE_DATE_PR_CHANGE)</f>
        <v/>
      </c>
      <c r="Y38" s="2508"/>
      <c r="Z38" s="2508"/>
      <c r="AA38" s="2508"/>
      <c r="AB38" s="2508"/>
      <c r="AC38" s="2508"/>
      <c r="AD38" s="2508"/>
      <c r="AE38" s="2508"/>
      <c r="AF38" s="263"/>
      <c r="AG38" s="2508" t="str">
        <f>IF(TITLE_DATE_PR_CHANGE="",IF(TITLE_DATE_PR="","",TITLE_DATE_PR),TITLE_DATE_PR_CHANGE)</f>
        <v/>
      </c>
      <c r="AH38" s="2508"/>
      <c r="AI38" s="2508"/>
      <c r="AJ38" s="2508"/>
      <c r="AK38" s="2508"/>
      <c r="AL38" s="2508"/>
      <c r="AM38" s="2508"/>
      <c r="AN38" s="2508"/>
      <c r="AO38" s="263"/>
      <c r="AP38" s="263"/>
      <c r="AQ38" s="217"/>
      <c r="AR38" s="304"/>
      <c r="AS38" s="304"/>
      <c r="AT38" s="304"/>
      <c r="AU38" s="304"/>
      <c r="AV38" s="304"/>
      <c r="AW38" s="354">
        <v>0</v>
      </c>
    </row>
    <row r="39" spans="1:49" s="1770" customFormat="1" ht="18.75" hidden="1" customHeight="1">
      <c r="A39" s="1171"/>
      <c r="B39" s="1171"/>
      <c r="C39" s="1171"/>
      <c r="D39" s="1171"/>
      <c r="E39" s="1171"/>
      <c r="F39" s="1171"/>
      <c r="G39" s="1171"/>
      <c r="H39" s="1171"/>
      <c r="I39" s="1171"/>
      <c r="J39" s="1171"/>
      <c r="K39" s="1171"/>
      <c r="L39" s="1171"/>
      <c r="M39" s="1303"/>
      <c r="N39" s="1171"/>
      <c r="O39" s="1171"/>
      <c r="P39" s="1171"/>
      <c r="U39" s="2498" t="str">
        <f>"Номер подачи заявления об "&amp;IF(TITLE_DATE_PR_CHANGE="","утверждении","изменении")&amp;" тарифов"</f>
        <v>Номер подачи заявления об утверждении тарифов</v>
      </c>
      <c r="V39" s="2498"/>
      <c r="W39" s="1295"/>
      <c r="X39" s="2499" t="str">
        <f>IF(TITLE_NUMBER_PR_CHANGE="",IF(TITLE_NUMBER_PR="","",TITLE_NUMBER_PR),TITLE_NUMBER_PR_CHANGE)</f>
        <v/>
      </c>
      <c r="Y39" s="2499"/>
      <c r="Z39" s="2499"/>
      <c r="AA39" s="2499"/>
      <c r="AB39" s="2499"/>
      <c r="AC39" s="2499"/>
      <c r="AD39" s="2499"/>
      <c r="AE39" s="2499"/>
      <c r="AF39" s="263"/>
      <c r="AG39" s="2499" t="str">
        <f>IF(TITLE_NUMBER_PR_CHANGE="",IF(TITLE_NUMBER_PR="","",TITLE_NUMBER_PR),TITLE_NUMBER_PR_CHANGE)</f>
        <v/>
      </c>
      <c r="AH39" s="2499"/>
      <c r="AI39" s="2499"/>
      <c r="AJ39" s="2499"/>
      <c r="AK39" s="2499"/>
      <c r="AL39" s="2499"/>
      <c r="AM39" s="2499"/>
      <c r="AN39" s="2499"/>
      <c r="AO39" s="263"/>
      <c r="AP39" s="263"/>
      <c r="AQ39" s="217"/>
      <c r="AR39" s="304"/>
      <c r="AS39" s="304"/>
      <c r="AT39" s="304"/>
      <c r="AU39" s="304"/>
      <c r="AV39" s="304"/>
      <c r="AW39" s="354">
        <v>0</v>
      </c>
    </row>
    <row r="40" spans="1:49" s="1770" customFormat="1" ht="0" hidden="1" customHeight="1">
      <c r="A40" s="1171"/>
      <c r="B40" s="1171"/>
      <c r="C40" s="1171"/>
      <c r="D40" s="1171"/>
      <c r="E40" s="1171"/>
      <c r="F40" s="1171"/>
      <c r="G40" s="1171"/>
      <c r="H40" s="1171"/>
      <c r="I40" s="1171"/>
      <c r="J40" s="1171"/>
      <c r="K40" s="1171"/>
      <c r="L40" s="1171"/>
      <c r="M40" s="1303"/>
      <c r="N40" s="1171"/>
      <c r="O40" s="1171"/>
      <c r="P40" s="1171"/>
      <c r="U40" s="260"/>
      <c r="V40" s="260"/>
      <c r="W40" s="1263"/>
      <c r="X40" s="263"/>
      <c r="Y40" s="263"/>
      <c r="Z40" s="263"/>
      <c r="AA40" s="263"/>
      <c r="AB40" s="263"/>
      <c r="AC40" s="263"/>
      <c r="AD40" s="263"/>
      <c r="AE40" s="263"/>
      <c r="AF40" s="215" t="s">
        <v>442</v>
      </c>
      <c r="AG40" s="263"/>
      <c r="AH40" s="263"/>
      <c r="AI40" s="263"/>
      <c r="AJ40" s="263"/>
      <c r="AK40" s="263"/>
      <c r="AL40" s="263"/>
      <c r="AM40" s="263"/>
      <c r="AN40" s="263"/>
      <c r="AO40" s="215" t="s">
        <v>442</v>
      </c>
      <c r="AR40" s="304"/>
      <c r="AS40" s="304"/>
      <c r="AT40" s="304"/>
      <c r="AU40" s="304"/>
      <c r="AV40" s="304"/>
      <c r="AW40" s="354">
        <v>0</v>
      </c>
    </row>
    <row r="41" spans="1:49" ht="14.65" customHeight="1">
      <c r="R41" s="312"/>
      <c r="S41" s="312"/>
      <c r="T41" s="312"/>
      <c r="U41" s="1198"/>
      <c r="V41" s="299"/>
      <c r="W41" s="1167"/>
      <c r="X41" s="2500"/>
      <c r="Y41" s="2500"/>
      <c r="Z41" s="2500"/>
      <c r="AA41" s="2500"/>
      <c r="AB41" s="2500"/>
      <c r="AC41" s="2500"/>
      <c r="AD41" s="2500"/>
      <c r="AE41" s="2500"/>
      <c r="AF41" s="2500"/>
      <c r="AG41" s="2500"/>
      <c r="AH41" s="2500"/>
      <c r="AI41" s="2500"/>
      <c r="AJ41" s="2500"/>
      <c r="AK41" s="2500"/>
      <c r="AL41" s="2500"/>
      <c r="AM41" s="2500"/>
      <c r="AN41" s="2500"/>
      <c r="AO41" s="2500"/>
      <c r="AW41" s="1078">
        <v>14</v>
      </c>
    </row>
    <row r="42" spans="1:49" ht="14.65" customHeight="1">
      <c r="R42" s="312"/>
      <c r="S42" s="312"/>
      <c r="T42" s="312"/>
      <c r="U42" s="2371" t="s">
        <v>319</v>
      </c>
      <c r="V42" s="2371"/>
      <c r="W42" s="2371"/>
      <c r="X42" s="2371"/>
      <c r="Y42" s="2371"/>
      <c r="Z42" s="2371"/>
      <c r="AA42" s="2371"/>
      <c r="AB42" s="2371"/>
      <c r="AC42" s="2371"/>
      <c r="AD42" s="2371"/>
      <c r="AE42" s="2371"/>
      <c r="AF42" s="2371"/>
      <c r="AG42" s="2371"/>
      <c r="AH42" s="2371"/>
      <c r="AI42" s="2371"/>
      <c r="AJ42" s="2371"/>
      <c r="AK42" s="2371"/>
      <c r="AL42" s="2371"/>
      <c r="AM42" s="2371"/>
      <c r="AN42" s="2371"/>
      <c r="AO42" s="2371"/>
      <c r="AP42" s="2371"/>
      <c r="AQ42" s="2371" t="s">
        <v>320</v>
      </c>
      <c r="AW42" s="1078">
        <v>14</v>
      </c>
    </row>
    <row r="43" spans="1:49" ht="14.65" customHeight="1">
      <c r="R43" s="312"/>
      <c r="S43" s="312"/>
      <c r="T43" s="312"/>
      <c r="U43" s="2514" t="s">
        <v>89</v>
      </c>
      <c r="V43" s="2466" t="s">
        <v>443</v>
      </c>
      <c r="W43" s="238"/>
      <c r="X43" s="2515" t="s">
        <v>444</v>
      </c>
      <c r="Y43" s="2532"/>
      <c r="Z43" s="2532"/>
      <c r="AA43" s="2532"/>
      <c r="AB43" s="2532"/>
      <c r="AC43" s="2516"/>
      <c r="AD43" s="2516"/>
      <c r="AE43" s="2517"/>
      <c r="AF43" s="2518" t="s">
        <v>445</v>
      </c>
      <c r="AG43" s="2515" t="s">
        <v>444</v>
      </c>
      <c r="AH43" s="2532"/>
      <c r="AI43" s="2532"/>
      <c r="AJ43" s="2532"/>
      <c r="AK43" s="2532"/>
      <c r="AL43" s="2516"/>
      <c r="AM43" s="2516"/>
      <c r="AN43" s="2517"/>
      <c r="AO43" s="2518" t="s">
        <v>446</v>
      </c>
      <c r="AP43" s="2521" t="s">
        <v>447</v>
      </c>
      <c r="AQ43" s="2371"/>
      <c r="AW43" s="1078">
        <v>14</v>
      </c>
    </row>
    <row r="44" spans="1:49" ht="35.65" customHeight="1">
      <c r="R44" s="312"/>
      <c r="S44" s="312"/>
      <c r="T44" s="312"/>
      <c r="U44" s="2514"/>
      <c r="V44" s="2466"/>
      <c r="W44" s="958"/>
      <c r="X44" s="2452" t="s">
        <v>470</v>
      </c>
      <c r="Y44" s="2371" t="s">
        <v>471</v>
      </c>
      <c r="Z44" s="2371"/>
      <c r="AA44" s="2371"/>
      <c r="AB44" s="2371"/>
      <c r="AC44" s="2452" t="s">
        <v>451</v>
      </c>
      <c r="AD44" s="2546"/>
      <c r="AE44" s="2453"/>
      <c r="AF44" s="2519"/>
      <c r="AG44" s="2452" t="s">
        <v>470</v>
      </c>
      <c r="AH44" s="2371" t="s">
        <v>471</v>
      </c>
      <c r="AI44" s="2371"/>
      <c r="AJ44" s="2371"/>
      <c r="AK44" s="2371"/>
      <c r="AL44" s="2452" t="s">
        <v>451</v>
      </c>
      <c r="AM44" s="2546"/>
      <c r="AN44" s="2453"/>
      <c r="AO44" s="2519"/>
      <c r="AP44" s="2522"/>
      <c r="AQ44" s="2371"/>
      <c r="AW44" s="1078">
        <v>34</v>
      </c>
    </row>
    <row r="45" spans="1:49" ht="14.65" customHeight="1">
      <c r="R45" s="312"/>
      <c r="S45" s="312"/>
      <c r="T45" s="312"/>
      <c r="U45" s="2514"/>
      <c r="V45" s="2466"/>
      <c r="W45" s="958"/>
      <c r="X45" s="2454"/>
      <c r="Y45" s="2479" t="s">
        <v>472</v>
      </c>
      <c r="Z45" s="2474" t="s">
        <v>473</v>
      </c>
      <c r="AA45" s="2475"/>
      <c r="AB45" s="2476"/>
      <c r="AC45" s="2457"/>
      <c r="AD45" s="2547"/>
      <c r="AE45" s="2458"/>
      <c r="AF45" s="2519"/>
      <c r="AG45" s="2454"/>
      <c r="AH45" s="2479" t="s">
        <v>472</v>
      </c>
      <c r="AI45" s="2474" t="s">
        <v>473</v>
      </c>
      <c r="AJ45" s="2475"/>
      <c r="AK45" s="2476"/>
      <c r="AL45" s="2457"/>
      <c r="AM45" s="2547"/>
      <c r="AN45" s="2458"/>
      <c r="AO45" s="2519"/>
      <c r="AP45" s="2522"/>
      <c r="AQ45" s="2371"/>
      <c r="AW45" s="1078">
        <v>14</v>
      </c>
    </row>
    <row r="46" spans="1:49" ht="27.4" customHeight="1">
      <c r="R46" s="312"/>
      <c r="S46" s="312"/>
      <c r="T46" s="312"/>
      <c r="U46" s="2514"/>
      <c r="V46" s="2466"/>
      <c r="W46" s="958"/>
      <c r="X46" s="2454"/>
      <c r="Y46" s="2548"/>
      <c r="Z46" s="2479" t="s">
        <v>474</v>
      </c>
      <c r="AA46" s="2474" t="s">
        <v>475</v>
      </c>
      <c r="AB46" s="2476"/>
      <c r="AC46" s="2479" t="s">
        <v>461</v>
      </c>
      <c r="AD46" s="2481" t="s">
        <v>462</v>
      </c>
      <c r="AE46" s="2483"/>
      <c r="AF46" s="2519"/>
      <c r="AG46" s="2454"/>
      <c r="AH46" s="2548"/>
      <c r="AI46" s="2479" t="s">
        <v>474</v>
      </c>
      <c r="AJ46" s="2474" t="s">
        <v>475</v>
      </c>
      <c r="AK46" s="2476"/>
      <c r="AL46" s="2479" t="s">
        <v>461</v>
      </c>
      <c r="AM46" s="2481" t="s">
        <v>462</v>
      </c>
      <c r="AN46" s="2483"/>
      <c r="AO46" s="2519"/>
      <c r="AP46" s="2522"/>
      <c r="AQ46" s="2371"/>
      <c r="AW46" s="1078">
        <v>26</v>
      </c>
    </row>
    <row r="47" spans="1:49" ht="65.25" customHeight="1">
      <c r="A47" s="1182"/>
      <c r="B47" s="1182" t="s">
        <v>156</v>
      </c>
      <c r="C47" s="1182" t="s">
        <v>157</v>
      </c>
      <c r="D47" s="1182" t="s">
        <v>158</v>
      </c>
      <c r="E47" s="1233" t="s">
        <v>452</v>
      </c>
      <c r="F47" s="1233" t="s">
        <v>453</v>
      </c>
      <c r="G47" s="1233" t="s">
        <v>454</v>
      </c>
      <c r="H47" s="1233" t="s">
        <v>455</v>
      </c>
      <c r="I47" s="1233" t="s">
        <v>456</v>
      </c>
      <c r="J47" s="1233" t="s">
        <v>457</v>
      </c>
      <c r="K47" s="1233" t="s">
        <v>458</v>
      </c>
      <c r="L47" s="1233" t="s">
        <v>476</v>
      </c>
      <c r="M47" s="1233" t="s">
        <v>437</v>
      </c>
      <c r="R47" s="312"/>
      <c r="S47" s="312"/>
      <c r="T47" s="312"/>
      <c r="U47" s="2514"/>
      <c r="V47" s="2466"/>
      <c r="W47" s="239"/>
      <c r="X47" s="2457"/>
      <c r="Y47" s="2480"/>
      <c r="Z47" s="2480"/>
      <c r="AA47" s="1145" t="s">
        <v>477</v>
      </c>
      <c r="AB47" s="1145" t="s">
        <v>478</v>
      </c>
      <c r="AC47" s="2480"/>
      <c r="AD47" s="2482"/>
      <c r="AE47" s="2484"/>
      <c r="AF47" s="2520"/>
      <c r="AG47" s="2457"/>
      <c r="AH47" s="2480"/>
      <c r="AI47" s="2480"/>
      <c r="AJ47" s="1145" t="s">
        <v>477</v>
      </c>
      <c r="AK47" s="1145" t="s">
        <v>478</v>
      </c>
      <c r="AL47" s="2480"/>
      <c r="AM47" s="2482"/>
      <c r="AN47" s="2484"/>
      <c r="AO47" s="2520"/>
      <c r="AP47" s="2523"/>
      <c r="AQ47" s="2371"/>
      <c r="AW47" s="1078">
        <v>62</v>
      </c>
    </row>
    <row r="48" spans="1:49" s="1564" customFormat="1" ht="11.25" hidden="1" customHeight="1">
      <c r="A48" s="1182"/>
      <c r="B48" s="1182"/>
      <c r="C48" s="1182"/>
      <c r="D48" s="1182"/>
      <c r="E48" s="1182"/>
      <c r="F48" s="1182"/>
      <c r="G48" s="1182"/>
      <c r="H48" s="1182"/>
      <c r="I48" s="1182"/>
      <c r="J48" s="1182"/>
      <c r="K48" s="1182"/>
      <c r="L48" s="1182"/>
      <c r="M48" s="1233"/>
      <c r="N48" s="1251"/>
      <c r="O48" s="1251"/>
      <c r="P48" s="1251"/>
      <c r="Q48" s="1169"/>
      <c r="R48" s="1170"/>
      <c r="S48" s="1177">
        <v>1</v>
      </c>
      <c r="T48" s="1177"/>
      <c r="U48" s="1200" t="s">
        <v>100</v>
      </c>
      <c r="V48" s="1178" t="s">
        <v>103</v>
      </c>
      <c r="W48" s="1168" t="str">
        <f ca="1">OFFSET(W48,0,-1)</f>
        <v>2</v>
      </c>
      <c r="X48" s="1258">
        <f ca="1">OFFSET(X48,0,-1)+1</f>
        <v>3</v>
      </c>
      <c r="Y48" s="1264"/>
      <c r="Z48" s="1264"/>
      <c r="AA48" s="1264">
        <f ca="1">OFFSET(AA48,0,-1)+1</f>
        <v>1</v>
      </c>
      <c r="AB48" s="1264">
        <f ca="1">OFFSET(AB48,0,-1)+1</f>
        <v>2</v>
      </c>
      <c r="AC48" s="1258">
        <f ca="1">OFFSET(AC48,0,-1)+1</f>
        <v>3</v>
      </c>
      <c r="AD48" s="2513">
        <f ca="1">OFFSET(AD48,0,-1)+1</f>
        <v>4</v>
      </c>
      <c r="AE48" s="2513"/>
      <c r="AF48" s="1258">
        <f ca="1">OFFSET(AF48,0,-2)+1</f>
        <v>5</v>
      </c>
      <c r="AG48" s="1258">
        <f ca="1">OFFSET(AG48,0,-1)+1</f>
        <v>6</v>
      </c>
      <c r="AH48" s="1258"/>
      <c r="AI48" s="1258"/>
      <c r="AJ48" s="1258">
        <f ca="1">OFFSET(AJ48,0,-1)+1</f>
        <v>1</v>
      </c>
      <c r="AK48" s="1258">
        <f ca="1">OFFSET(AK48,0,-1)+1</f>
        <v>2</v>
      </c>
      <c r="AL48" s="1258">
        <f ca="1">OFFSET(AL48,0,-1)+1</f>
        <v>3</v>
      </c>
      <c r="AM48" s="2513">
        <f ca="1">OFFSET(AM48,0,-1)+1</f>
        <v>4</v>
      </c>
      <c r="AN48" s="2513"/>
      <c r="AO48" s="1258">
        <f ca="1">OFFSET(AO48,0,-2)+1</f>
        <v>5</v>
      </c>
      <c r="AP48" s="1168">
        <f ca="1">OFFSET(AP48,0,-1)</f>
        <v>5</v>
      </c>
      <c r="AQ48" s="1258">
        <f ca="1">OFFSET(AQ48,0,-1)+1</f>
        <v>6</v>
      </c>
      <c r="AR48" s="447"/>
      <c r="AS48" s="447"/>
      <c r="AT48" s="447"/>
      <c r="AU48" s="447"/>
      <c r="AV48" s="447"/>
      <c r="AW48" s="432">
        <v>0</v>
      </c>
    </row>
    <row r="49" spans="1:49" ht="21.95" customHeight="1">
      <c r="A49" s="1190" t="s">
        <v>195</v>
      </c>
      <c r="B49" s="1190"/>
      <c r="C49" s="1190"/>
      <c r="D49" s="1190"/>
      <c r="E49" s="2530">
        <v>1</v>
      </c>
      <c r="F49" s="1190"/>
      <c r="G49" s="1190"/>
      <c r="H49" s="1190"/>
      <c r="I49" s="1190"/>
      <c r="J49" s="1190"/>
      <c r="K49" s="1190"/>
      <c r="L49" s="1190"/>
      <c r="M49" s="1233"/>
      <c r="N49" s="624"/>
      <c r="O49" s="624"/>
      <c r="P49" s="624"/>
      <c r="Q49" s="297"/>
      <c r="R49" s="296"/>
      <c r="S49" s="296"/>
      <c r="T49" s="291"/>
      <c r="U49" s="1259">
        <f>INDEX(PT_DIFFERENTIATION_NUM_NTAR,MATCH(A49,PT_DIFFERENTIATION_NTAR_ID,0))</f>
        <v>0</v>
      </c>
      <c r="V49" s="235" t="s">
        <v>144</v>
      </c>
      <c r="W49" s="237"/>
      <c r="X49" s="2492"/>
      <c r="Y49" s="2493"/>
      <c r="Z49" s="2493"/>
      <c r="AA49" s="2493"/>
      <c r="AB49" s="2493"/>
      <c r="AC49" s="2493"/>
      <c r="AD49" s="2493"/>
      <c r="AE49" s="2493"/>
      <c r="AF49" s="2494"/>
      <c r="AG49" s="2492" t="str">
        <f>INDEX(PT_DIFFERENTIATION_NTAR,MATCH(A49,PT_DIFFERENTIATION_NTAR_ID,0))</f>
        <v/>
      </c>
      <c r="AH49" s="2493"/>
      <c r="AI49" s="2493"/>
      <c r="AJ49" s="2493"/>
      <c r="AK49" s="2493"/>
      <c r="AL49" s="2493"/>
      <c r="AM49" s="2493"/>
      <c r="AN49" s="2493"/>
      <c r="AO49" s="2493"/>
      <c r="AP49" s="2494"/>
      <c r="AQ49" s="118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78">
        <v>21</v>
      </c>
    </row>
    <row r="50" spans="1:49" ht="21.95" customHeight="1">
      <c r="A50" s="1190" t="s">
        <v>195</v>
      </c>
      <c r="B50" s="1190" t="s">
        <v>196</v>
      </c>
      <c r="C50" s="1190"/>
      <c r="D50" s="1190"/>
      <c r="E50" s="2531"/>
      <c r="F50" s="2530">
        <v>1</v>
      </c>
      <c r="G50" s="1190"/>
      <c r="H50" s="1190"/>
      <c r="I50" s="1190"/>
      <c r="J50" s="1190"/>
      <c r="K50" s="1190"/>
      <c r="L50" s="1190"/>
      <c r="M50" s="1233"/>
      <c r="N50" s="624"/>
      <c r="O50" s="624"/>
      <c r="P50" s="624"/>
      <c r="Q50" s="1255"/>
      <c r="R50" s="288"/>
      <c r="S50" s="445"/>
      <c r="T50" s="289"/>
      <c r="U50" s="1259" t="str">
        <f>INDEX(PT_DIFFERENTIATION_NUM_TER,MATCH(B50,PT_DIFFERENTIATION_TER_ID,0))</f>
        <v>.</v>
      </c>
      <c r="V50" s="245" t="s">
        <v>416</v>
      </c>
      <c r="W50" s="237"/>
      <c r="X50" s="2492"/>
      <c r="Y50" s="2493"/>
      <c r="Z50" s="2493"/>
      <c r="AA50" s="2493"/>
      <c r="AB50" s="2493"/>
      <c r="AC50" s="2493"/>
      <c r="AD50" s="2493"/>
      <c r="AE50" s="2493"/>
      <c r="AF50" s="2494"/>
      <c r="AG50" s="2492" t="str">
        <f>INDEX(PT_DIFFERENTIATION_TER,MATCH(B50,PT_DIFFERENTIATION_TER_ID,0))</f>
        <v/>
      </c>
      <c r="AH50" s="2493"/>
      <c r="AI50" s="2493"/>
      <c r="AJ50" s="2493"/>
      <c r="AK50" s="2493"/>
      <c r="AL50" s="2493"/>
      <c r="AM50" s="2493"/>
      <c r="AN50" s="2493"/>
      <c r="AO50" s="2493"/>
      <c r="AP50" s="2494"/>
      <c r="AQ50" s="1181" t="s">
        <v>417</v>
      </c>
      <c r="AS50" s="436"/>
      <c r="AT50" s="436" t="str">
        <f t="shared" si="2"/>
        <v>Территория действия тарифа</v>
      </c>
      <c r="AU50" s="436"/>
      <c r="AV50" s="436"/>
      <c r="AW50" s="1078">
        <v>21</v>
      </c>
    </row>
    <row r="51" spans="1:49" ht="24" customHeight="1">
      <c r="A51" s="1190" t="s">
        <v>195</v>
      </c>
      <c r="B51" s="1190" t="s">
        <v>196</v>
      </c>
      <c r="C51" s="1190" t="s">
        <v>197</v>
      </c>
      <c r="D51" s="1190"/>
      <c r="E51" s="2531"/>
      <c r="F51" s="2531"/>
      <c r="G51" s="2530">
        <v>1</v>
      </c>
      <c r="H51" s="1190"/>
      <c r="I51" s="1190"/>
      <c r="J51" s="1190"/>
      <c r="K51" s="1190"/>
      <c r="L51" s="1190"/>
      <c r="M51" s="1233"/>
      <c r="N51" s="624"/>
      <c r="O51" s="624"/>
      <c r="P51" s="624"/>
      <c r="Q51" s="290"/>
      <c r="R51" s="288"/>
      <c r="S51" s="445"/>
      <c r="T51" s="289"/>
      <c r="U51" s="1259" t="str">
        <f>INDEX(PT_DIFFERENTIATION_NUM_CS,MATCH(C51,PT_DIFFERENTIATION_CS_ID,0))</f>
        <v>..</v>
      </c>
      <c r="V51" s="246" t="s">
        <v>418</v>
      </c>
      <c r="W51" s="237"/>
      <c r="X51" s="2492"/>
      <c r="Y51" s="2493"/>
      <c r="Z51" s="2493"/>
      <c r="AA51" s="2493"/>
      <c r="AB51" s="2493"/>
      <c r="AC51" s="2493"/>
      <c r="AD51" s="2493"/>
      <c r="AE51" s="2493"/>
      <c r="AF51" s="2494"/>
      <c r="AG51" s="2492" t="str">
        <f>INDEX(PT_DIFFERENTIATION_CS,MATCH(C51,PT_DIFFERENTIATION_CS_ID,0))</f>
        <v/>
      </c>
      <c r="AH51" s="2493"/>
      <c r="AI51" s="2493"/>
      <c r="AJ51" s="2493"/>
      <c r="AK51" s="2493"/>
      <c r="AL51" s="2493"/>
      <c r="AM51" s="2493"/>
      <c r="AN51" s="2493"/>
      <c r="AO51" s="2493"/>
      <c r="AP51" s="2494"/>
      <c r="AQ51" s="1181" t="s">
        <v>419</v>
      </c>
      <c r="AS51" s="436"/>
      <c r="AT51" s="436" t="str">
        <f t="shared" si="2"/>
        <v xml:space="preserve">Наименование системы теплоснабжения </v>
      </c>
      <c r="AU51" s="436"/>
      <c r="AV51" s="436"/>
      <c r="AW51" s="1078">
        <v>23</v>
      </c>
    </row>
    <row r="52" spans="1:49" ht="21.95" customHeight="1">
      <c r="A52" s="1190" t="s">
        <v>195</v>
      </c>
      <c r="B52" s="1190" t="s">
        <v>196</v>
      </c>
      <c r="C52" s="1190" t="s">
        <v>197</v>
      </c>
      <c r="D52" s="1190" t="s">
        <v>198</v>
      </c>
      <c r="E52" s="2531"/>
      <c r="F52" s="2531"/>
      <c r="G52" s="2531"/>
      <c r="H52" s="2530">
        <v>1</v>
      </c>
      <c r="I52" s="1190"/>
      <c r="J52" s="1190"/>
      <c r="K52" s="1190"/>
      <c r="L52" s="1190"/>
      <c r="M52" s="1233"/>
      <c r="N52" s="624"/>
      <c r="O52" s="624"/>
      <c r="P52" s="624"/>
      <c r="Q52" s="290"/>
      <c r="R52" s="288"/>
      <c r="S52" s="445"/>
      <c r="T52" s="289"/>
      <c r="U52" s="1259" t="str">
        <f>INDEX(PT_DIFFERENTIATION_NUM_IST_TE,MATCH(D52,PT_DIFFERENTIATION_IST_TE_ID,0))</f>
        <v>...</v>
      </c>
      <c r="V52" s="247" t="s">
        <v>420</v>
      </c>
      <c r="W52" s="237"/>
      <c r="X52" s="2492"/>
      <c r="Y52" s="2493"/>
      <c r="Z52" s="2493"/>
      <c r="AA52" s="2493"/>
      <c r="AB52" s="2493"/>
      <c r="AC52" s="2493"/>
      <c r="AD52" s="2493"/>
      <c r="AE52" s="2493"/>
      <c r="AF52" s="2494"/>
      <c r="AG52" s="2492" t="str">
        <f>INDEX(PT_DIFFERENTIATION_IST_TE,MATCH(D52,PT_DIFFERENTIATION_IST_TE_ID,0))</f>
        <v/>
      </c>
      <c r="AH52" s="2493"/>
      <c r="AI52" s="2493"/>
      <c r="AJ52" s="2493"/>
      <c r="AK52" s="2493"/>
      <c r="AL52" s="2493"/>
      <c r="AM52" s="2493"/>
      <c r="AN52" s="2493"/>
      <c r="AO52" s="2493"/>
      <c r="AP52" s="2494"/>
      <c r="AQ52" s="1181" t="s">
        <v>421</v>
      </c>
      <c r="AS52" s="436"/>
      <c r="AT52" s="436" t="str">
        <f t="shared" si="2"/>
        <v xml:space="preserve">Источник тепловой энергии  </v>
      </c>
      <c r="AU52" s="436"/>
      <c r="AV52" s="436"/>
      <c r="AW52" s="1078">
        <v>21</v>
      </c>
    </row>
    <row r="53" spans="1:49" s="1565" customFormat="1" ht="0" hidden="1" customHeight="1">
      <c r="A53" s="1298" t="s">
        <v>195</v>
      </c>
      <c r="B53" s="1298" t="s">
        <v>196</v>
      </c>
      <c r="C53" s="1298" t="s">
        <v>197</v>
      </c>
      <c r="D53" s="1298" t="s">
        <v>198</v>
      </c>
      <c r="E53" s="2531"/>
      <c r="F53" s="2531"/>
      <c r="G53" s="2531"/>
      <c r="H53" s="2531"/>
      <c r="I53" s="2371" t="str">
        <f>U52&amp;".1"</f>
        <v>....1</v>
      </c>
      <c r="J53" s="1298"/>
      <c r="K53" s="1298"/>
      <c r="L53" s="1298"/>
      <c r="M53" s="1304" t="s">
        <v>422</v>
      </c>
      <c r="N53" s="1169"/>
      <c r="O53" s="1169"/>
      <c r="P53" s="1169"/>
      <c r="Q53" s="2505">
        <v>1</v>
      </c>
      <c r="R53" s="1254"/>
      <c r="S53" s="1254"/>
      <c r="T53" s="292"/>
      <c r="U53" s="969"/>
      <c r="V53" s="1306"/>
      <c r="W53" s="1307"/>
      <c r="X53" s="2535"/>
      <c r="Y53" s="2536"/>
      <c r="Z53" s="2536"/>
      <c r="AA53" s="2536"/>
      <c r="AB53" s="2536"/>
      <c r="AC53" s="2536"/>
      <c r="AD53" s="2536"/>
      <c r="AE53" s="2536"/>
      <c r="AF53" s="2537"/>
      <c r="AG53" s="2535"/>
      <c r="AH53" s="2536"/>
      <c r="AI53" s="2536"/>
      <c r="AJ53" s="2536"/>
      <c r="AK53" s="2536"/>
      <c r="AL53" s="2536"/>
      <c r="AM53" s="2536"/>
      <c r="AN53" s="2536"/>
      <c r="AO53" s="2536"/>
      <c r="AP53" s="2537"/>
      <c r="AQ53" s="1308"/>
      <c r="AS53" s="436"/>
      <c r="AT53" s="436" t="str">
        <f t="shared" si="2"/>
        <v/>
      </c>
      <c r="AU53" s="436"/>
      <c r="AV53" s="436"/>
      <c r="AW53" s="447">
        <v>0</v>
      </c>
    </row>
    <row r="54" spans="1:49" ht="21.95" customHeight="1">
      <c r="A54" s="1190" t="s">
        <v>195</v>
      </c>
      <c r="B54" s="1190" t="s">
        <v>196</v>
      </c>
      <c r="C54" s="1190" t="s">
        <v>197</v>
      </c>
      <c r="D54" s="1190" t="s">
        <v>198</v>
      </c>
      <c r="E54" s="2531"/>
      <c r="F54" s="2531"/>
      <c r="G54" s="2531"/>
      <c r="H54" s="2531"/>
      <c r="I54" s="2350"/>
      <c r="J54" s="2371" t="str">
        <f>I53&amp;".1"</f>
        <v>....1.1</v>
      </c>
      <c r="K54" s="1190"/>
      <c r="L54" s="1190"/>
      <c r="M54" s="1233" t="s">
        <v>425</v>
      </c>
      <c r="Q54" s="2505"/>
      <c r="R54" s="2505">
        <v>1</v>
      </c>
      <c r="S54" s="454"/>
      <c r="T54" s="293"/>
      <c r="U54" s="1259" t="str">
        <f>$J54</f>
        <v>....1.1</v>
      </c>
      <c r="V54" s="223" t="s">
        <v>426</v>
      </c>
      <c r="W54" s="237"/>
      <c r="X54" s="2495"/>
      <c r="Y54" s="2496"/>
      <c r="Z54" s="2496"/>
      <c r="AA54" s="2496"/>
      <c r="AB54" s="2496"/>
      <c r="AC54" s="2488"/>
      <c r="AD54" s="2488"/>
      <c r="AE54" s="2488"/>
      <c r="AF54" s="2545"/>
      <c r="AG54" s="2495"/>
      <c r="AH54" s="2496"/>
      <c r="AI54" s="2496"/>
      <c r="AJ54" s="2496"/>
      <c r="AK54" s="2496"/>
      <c r="AL54" s="2496"/>
      <c r="AM54" s="2496"/>
      <c r="AN54" s="2496"/>
      <c r="AO54" s="2496"/>
      <c r="AP54" s="2497"/>
      <c r="AQ54" s="1181" t="s">
        <v>427</v>
      </c>
      <c r="AS54" s="436"/>
      <c r="AT54" s="436" t="str">
        <f t="shared" si="2"/>
        <v>Группа потребителей</v>
      </c>
      <c r="AU54" s="436"/>
      <c r="AV54" s="436"/>
      <c r="AW54" s="1078">
        <v>21</v>
      </c>
    </row>
    <row r="55" spans="1:49" ht="21.95" customHeight="1">
      <c r="A55" s="1190" t="s">
        <v>195</v>
      </c>
      <c r="B55" s="1190" t="s">
        <v>196</v>
      </c>
      <c r="C55" s="1190" t="s">
        <v>197</v>
      </c>
      <c r="D55" s="1190" t="s">
        <v>198</v>
      </c>
      <c r="E55" s="2531"/>
      <c r="F55" s="2531"/>
      <c r="G55" s="2531"/>
      <c r="H55" s="2531"/>
      <c r="I55" s="2350"/>
      <c r="J55" s="2350"/>
      <c r="K55" s="2371" t="str">
        <f>J54&amp;".1"</f>
        <v>....1.1.1</v>
      </c>
      <c r="L55" s="77"/>
      <c r="M55" s="1233" t="s">
        <v>428</v>
      </c>
      <c r="Q55" s="2505"/>
      <c r="R55" s="2505"/>
      <c r="S55" s="454">
        <v>1</v>
      </c>
      <c r="T55" s="293"/>
      <c r="U55" s="1259" t="str">
        <f>$K55</f>
        <v>....1.1.1</v>
      </c>
      <c r="V55" s="1270"/>
      <c r="W55" s="237"/>
      <c r="X55" s="686"/>
      <c r="Y55" s="686"/>
      <c r="Z55" s="686"/>
      <c r="AA55" s="686"/>
      <c r="AB55" s="1328"/>
      <c r="AC55" s="2509"/>
      <c r="AD55" s="2360" t="s">
        <v>63</v>
      </c>
      <c r="AE55" s="2509"/>
      <c r="AF55" s="2360" t="s">
        <v>63</v>
      </c>
      <c r="AG55" s="1330"/>
      <c r="AH55" s="686"/>
      <c r="AI55" s="686"/>
      <c r="AJ55" s="686"/>
      <c r="AK55" s="1180"/>
      <c r="AL55" s="2509"/>
      <c r="AM55" s="2360" t="s">
        <v>63</v>
      </c>
      <c r="AN55" s="2509"/>
      <c r="AO55" s="2360" t="s">
        <v>63</v>
      </c>
      <c r="AP55" s="1271"/>
      <c r="AQ55" s="1230" t="s">
        <v>467</v>
      </c>
      <c r="AR55" s="447" t="e">
        <f ca="1">STRCHECKDATE(X57:AP57)</f>
        <v>#NAME?</v>
      </c>
      <c r="AS55" s="436"/>
      <c r="AT55" s="436" t="str">
        <f t="shared" si="2"/>
        <v/>
      </c>
      <c r="AU55" s="436"/>
      <c r="AV55" s="436"/>
      <c r="AW55" s="1078">
        <v>21</v>
      </c>
    </row>
    <row r="56" spans="1:49" ht="11.45" customHeight="1">
      <c r="A56" s="1190" t="s">
        <v>195</v>
      </c>
      <c r="B56" s="1190" t="s">
        <v>196</v>
      </c>
      <c r="C56" s="1190" t="s">
        <v>197</v>
      </c>
      <c r="D56" s="1190" t="s">
        <v>198</v>
      </c>
      <c r="E56" s="2531"/>
      <c r="F56" s="2531"/>
      <c r="G56" s="2531"/>
      <c r="H56" s="2531"/>
      <c r="I56" s="2350"/>
      <c r="J56" s="2350"/>
      <c r="K56" s="2350"/>
      <c r="L56" s="2371" t="str">
        <f>K55&amp;".1"</f>
        <v>....1.1.1.1</v>
      </c>
      <c r="M56" s="1233"/>
      <c r="Q56" s="2505"/>
      <c r="R56" s="2505"/>
      <c r="S56" s="454">
        <v>1</v>
      </c>
      <c r="T56" s="293"/>
      <c r="U56" s="1259" t="str">
        <f>$L56</f>
        <v>....1.1.1.1</v>
      </c>
      <c r="V56" s="1314"/>
      <c r="W56" s="237"/>
      <c r="X56" s="262"/>
      <c r="Y56" s="686"/>
      <c r="Z56" s="686"/>
      <c r="AA56" s="686"/>
      <c r="AB56" s="1328"/>
      <c r="AC56" s="2510"/>
      <c r="AD56" s="2360"/>
      <c r="AE56" s="2510"/>
      <c r="AF56" s="2360"/>
      <c r="AG56" s="1330"/>
      <c r="AH56" s="686"/>
      <c r="AI56" s="686"/>
      <c r="AJ56" s="686"/>
      <c r="AK56" s="1180"/>
      <c r="AL56" s="2510"/>
      <c r="AM56" s="2360"/>
      <c r="AN56" s="2510"/>
      <c r="AO56" s="2360"/>
      <c r="AP56" s="1271"/>
      <c r="AQ56" s="2501" t="s">
        <v>468</v>
      </c>
      <c r="AR56" s="447" t="e">
        <f ca="1">STRCHECKDATE(X58:AP58)</f>
        <v>#NAME?</v>
      </c>
      <c r="AS56" s="436"/>
      <c r="AT56" s="436" t="str">
        <f t="shared" si="2"/>
        <v/>
      </c>
      <c r="AU56" s="436"/>
      <c r="AV56" s="436"/>
      <c r="AW56" s="1078">
        <v>11</v>
      </c>
    </row>
    <row r="57" spans="1:49" ht="0" hidden="1" customHeight="1">
      <c r="A57" s="1190" t="s">
        <v>195</v>
      </c>
      <c r="B57" s="1190" t="s">
        <v>196</v>
      </c>
      <c r="C57" s="1190" t="s">
        <v>197</v>
      </c>
      <c r="D57" s="1190" t="s">
        <v>198</v>
      </c>
      <c r="E57" s="2531"/>
      <c r="F57" s="2531"/>
      <c r="G57" s="2531"/>
      <c r="H57" s="2531"/>
      <c r="I57" s="2350"/>
      <c r="J57" s="2350"/>
      <c r="K57" s="2350"/>
      <c r="L57" s="2371"/>
      <c r="M57" s="1233"/>
      <c r="Q57" s="2505"/>
      <c r="R57" s="2505"/>
      <c r="S57" s="454"/>
      <c r="T57" s="293"/>
      <c r="U57" s="1265"/>
      <c r="V57" s="237"/>
      <c r="W57" s="237"/>
      <c r="X57" s="262"/>
      <c r="Y57" s="262"/>
      <c r="Z57" s="262"/>
      <c r="AA57" s="262"/>
      <c r="AB57" s="1329" t="str">
        <f>AC55&amp;"-"&amp;AE55</f>
        <v>-</v>
      </c>
      <c r="AC57" s="2510"/>
      <c r="AD57" s="2360"/>
      <c r="AE57" s="2510"/>
      <c r="AF57" s="2360"/>
      <c r="AG57" s="1305"/>
      <c r="AH57" s="262"/>
      <c r="AI57" s="262"/>
      <c r="AJ57" s="262"/>
      <c r="AK57" s="265" t="str">
        <f>AL55&amp;"-"&amp;AN55</f>
        <v>-</v>
      </c>
      <c r="AL57" s="2510"/>
      <c r="AM57" s="2360"/>
      <c r="AN57" s="2510"/>
      <c r="AO57" s="2360"/>
      <c r="AP57" s="1272"/>
      <c r="AQ57" s="2502"/>
      <c r="AS57" s="436"/>
      <c r="AT57" s="436" t="str">
        <f t="shared" si="2"/>
        <v/>
      </c>
      <c r="AU57" s="436"/>
      <c r="AV57" s="436"/>
      <c r="AW57" s="1078">
        <v>0</v>
      </c>
    </row>
    <row r="58" spans="1:49" ht="11.45" customHeight="1">
      <c r="A58" s="1190" t="s">
        <v>195</v>
      </c>
      <c r="B58" s="1190" t="s">
        <v>196</v>
      </c>
      <c r="C58" s="1190" t="s">
        <v>197</v>
      </c>
      <c r="D58" s="1190" t="s">
        <v>198</v>
      </c>
      <c r="E58" s="2531"/>
      <c r="F58" s="2531"/>
      <c r="G58" s="2531"/>
      <c r="H58" s="2531"/>
      <c r="I58" s="2350"/>
      <c r="J58" s="2350"/>
      <c r="K58" s="2371"/>
      <c r="L58" s="1190"/>
      <c r="M58" s="1233"/>
      <c r="Q58" s="2505"/>
      <c r="R58" s="2505"/>
      <c r="S58" s="1254"/>
      <c r="T58" s="292"/>
      <c r="U58" s="1201"/>
      <c r="V58" s="225" t="s">
        <v>469</v>
      </c>
      <c r="W58" s="303"/>
      <c r="X58" s="303"/>
      <c r="Y58" s="303"/>
      <c r="Z58" s="303"/>
      <c r="AA58" s="303"/>
      <c r="AB58" s="303"/>
      <c r="AC58" s="2510"/>
      <c r="AD58" s="2360"/>
      <c r="AE58" s="2510"/>
      <c r="AF58" s="2360"/>
      <c r="AG58" s="303"/>
      <c r="AH58" s="303"/>
      <c r="AI58" s="303"/>
      <c r="AJ58" s="303"/>
      <c r="AK58" s="303"/>
      <c r="AL58" s="2510"/>
      <c r="AM58" s="2360"/>
      <c r="AN58" s="2510"/>
      <c r="AO58" s="2360"/>
      <c r="AP58" s="261"/>
      <c r="AQ58" s="2502"/>
      <c r="AS58" s="436"/>
      <c r="AT58" s="436" t="str">
        <f t="shared" si="2"/>
        <v>Добавить наименование поставщика</v>
      </c>
      <c r="AU58" s="436"/>
      <c r="AV58" s="436"/>
      <c r="AW58" s="1078">
        <v>11</v>
      </c>
    </row>
    <row r="59" spans="1:49" ht="11.45" customHeight="1">
      <c r="A59" s="1190" t="s">
        <v>195</v>
      </c>
      <c r="B59" s="1190" t="s">
        <v>196</v>
      </c>
      <c r="C59" s="1190" t="s">
        <v>197</v>
      </c>
      <c r="D59" s="1190" t="s">
        <v>198</v>
      </c>
      <c r="E59" s="2531"/>
      <c r="F59" s="2531"/>
      <c r="G59" s="2531"/>
      <c r="H59" s="2531"/>
      <c r="I59" s="2350"/>
      <c r="J59" s="2371"/>
      <c r="K59" s="1190"/>
      <c r="L59" s="1190"/>
      <c r="M59" s="1233"/>
      <c r="Q59" s="2505"/>
      <c r="R59" s="2505"/>
      <c r="S59" s="1254"/>
      <c r="T59" s="292"/>
      <c r="U59" s="1201"/>
      <c r="V59" s="224" t="s">
        <v>430</v>
      </c>
      <c r="W59" s="303"/>
      <c r="X59" s="303"/>
      <c r="Y59" s="303"/>
      <c r="Z59" s="303"/>
      <c r="AA59" s="303"/>
      <c r="AB59" s="303"/>
      <c r="AC59" s="1331"/>
      <c r="AD59" s="1331"/>
      <c r="AE59" s="1331"/>
      <c r="AF59" s="1331"/>
      <c r="AG59" s="303"/>
      <c r="AH59" s="303"/>
      <c r="AI59" s="303"/>
      <c r="AJ59" s="303"/>
      <c r="AK59" s="303"/>
      <c r="AL59" s="303"/>
      <c r="AM59" s="303"/>
      <c r="AN59" s="303"/>
      <c r="AO59" s="303"/>
      <c r="AP59" s="261"/>
      <c r="AQ59" s="2503"/>
      <c r="AS59" s="436"/>
      <c r="AT59" s="436" t="str">
        <f t="shared" si="2"/>
        <v>Добавить вид теплоносителя (параметры теплоносителя)</v>
      </c>
      <c r="AU59" s="436"/>
      <c r="AV59" s="436"/>
      <c r="AW59" s="1078">
        <v>11</v>
      </c>
    </row>
    <row r="60" spans="1:49" ht="11.45" customHeight="1">
      <c r="A60" s="1190" t="s">
        <v>195</v>
      </c>
      <c r="B60" s="1190" t="s">
        <v>196</v>
      </c>
      <c r="C60" s="1190" t="s">
        <v>197</v>
      </c>
      <c r="D60" s="1190" t="s">
        <v>198</v>
      </c>
      <c r="E60" s="2531"/>
      <c r="F60" s="2531"/>
      <c r="G60" s="2531"/>
      <c r="H60" s="2531"/>
      <c r="I60" s="2371"/>
      <c r="J60" s="1190"/>
      <c r="K60" s="1190"/>
      <c r="L60" s="1190"/>
      <c r="M60" s="1233"/>
      <c r="Q60" s="2505"/>
      <c r="R60" s="1254"/>
      <c r="S60" s="1254"/>
      <c r="T60" s="292"/>
      <c r="U60" s="1201"/>
      <c r="V60" s="301" t="s">
        <v>431</v>
      </c>
      <c r="W60" s="303"/>
      <c r="X60" s="303"/>
      <c r="Y60" s="303"/>
      <c r="Z60" s="303"/>
      <c r="AA60" s="303"/>
      <c r="AB60" s="303"/>
      <c r="AC60" s="303"/>
      <c r="AD60" s="303"/>
      <c r="AE60" s="303"/>
      <c r="AF60" s="302"/>
      <c r="AG60" s="303"/>
      <c r="AH60" s="303"/>
      <c r="AI60" s="303"/>
      <c r="AJ60" s="303"/>
      <c r="AK60" s="303"/>
      <c r="AL60" s="303"/>
      <c r="AM60" s="303"/>
      <c r="AN60" s="303"/>
      <c r="AO60" s="302"/>
      <c r="AP60" s="303"/>
      <c r="AQ60" s="240"/>
      <c r="AS60" s="436"/>
      <c r="AT60" s="436" t="str">
        <f t="shared" si="2"/>
        <v>Добавить группу потребителей</v>
      </c>
      <c r="AU60" s="436"/>
      <c r="AV60" s="436"/>
      <c r="AW60" s="1078">
        <v>11</v>
      </c>
    </row>
    <row r="61" spans="1:49" ht="0" hidden="1" customHeight="1">
      <c r="A61" s="1190" t="s">
        <v>195</v>
      </c>
      <c r="B61" s="1190" t="s">
        <v>196</v>
      </c>
      <c r="C61" s="1190" t="s">
        <v>197</v>
      </c>
      <c r="D61" s="1190" t="s">
        <v>198</v>
      </c>
      <c r="E61" s="2531"/>
      <c r="F61" s="2531"/>
      <c r="G61" s="2531"/>
      <c r="H61" s="2530"/>
      <c r="I61" s="1190"/>
      <c r="J61" s="1190"/>
      <c r="K61" s="1190"/>
      <c r="L61" s="1190"/>
      <c r="M61" s="1233"/>
      <c r="N61" s="624"/>
      <c r="O61" s="624"/>
      <c r="P61" s="445"/>
      <c r="Q61" s="296"/>
      <c r="R61" s="311"/>
      <c r="S61" s="291"/>
      <c r="T61" s="296"/>
      <c r="U61" s="1309"/>
      <c r="V61" s="1310"/>
      <c r="W61" s="1311"/>
      <c r="X61" s="1311"/>
      <c r="Y61" s="1311"/>
      <c r="Z61" s="1311"/>
      <c r="AA61" s="1311"/>
      <c r="AB61" s="1311"/>
      <c r="AC61" s="1311"/>
      <c r="AD61" s="1311"/>
      <c r="AE61" s="1311"/>
      <c r="AF61" s="1311"/>
      <c r="AG61" s="1311"/>
      <c r="AH61" s="1311"/>
      <c r="AI61" s="1311"/>
      <c r="AJ61" s="1311"/>
      <c r="AK61" s="1311"/>
      <c r="AL61" s="1311"/>
      <c r="AM61" s="1311"/>
      <c r="AN61" s="1311"/>
      <c r="AO61" s="1311"/>
      <c r="AP61" s="1311"/>
      <c r="AQ61" s="1312"/>
      <c r="AS61" s="436"/>
      <c r="AT61" s="436" t="str">
        <f t="shared" si="2"/>
        <v/>
      </c>
      <c r="AU61" s="436"/>
      <c r="AV61" s="436"/>
      <c r="AW61" s="1078">
        <v>0</v>
      </c>
    </row>
    <row r="62" spans="1:49" s="1565" customFormat="1" ht="0" hidden="1" customHeight="1">
      <c r="A62" s="1298" t="s">
        <v>195</v>
      </c>
      <c r="B62" s="1298" t="s">
        <v>196</v>
      </c>
      <c r="C62" s="1298" t="s">
        <v>197</v>
      </c>
      <c r="D62" s="1297"/>
      <c r="E62" s="2531"/>
      <c r="F62" s="2531"/>
      <c r="G62" s="2530"/>
      <c r="H62" s="1297"/>
      <c r="I62" s="1297"/>
      <c r="J62" s="1297"/>
      <c r="K62" s="1297"/>
      <c r="L62" s="1297"/>
      <c r="M62" s="1300"/>
      <c r="N62" s="1301"/>
      <c r="O62" s="1301"/>
      <c r="P62" s="287"/>
      <c r="Q62" s="1239"/>
      <c r="R62" s="1240"/>
      <c r="S62" s="1239"/>
      <c r="T62" s="1239"/>
      <c r="U62" s="1245"/>
      <c r="V62" s="1248" t="s">
        <v>433</v>
      </c>
      <c r="W62" s="1247"/>
      <c r="X62" s="1247"/>
      <c r="Y62" s="1247"/>
      <c r="Z62" s="1247"/>
      <c r="AA62" s="1247"/>
      <c r="AB62" s="1247"/>
      <c r="AC62" s="1247"/>
      <c r="AD62" s="1247"/>
      <c r="AE62" s="1247"/>
      <c r="AF62" s="1247"/>
      <c r="AG62" s="1247"/>
      <c r="AH62" s="1247"/>
      <c r="AI62" s="1247"/>
      <c r="AJ62" s="1247"/>
      <c r="AK62" s="1247"/>
      <c r="AL62" s="1247"/>
      <c r="AM62" s="1247"/>
      <c r="AN62" s="1247"/>
      <c r="AO62" s="1247"/>
      <c r="AP62" s="1247"/>
      <c r="AQ62" s="1247"/>
      <c r="AS62" s="718"/>
      <c r="AT62" s="718" t="str">
        <f t="shared" si="2"/>
        <v>Добавить источник для дифференциации</v>
      </c>
      <c r="AU62" s="718"/>
      <c r="AV62" s="718"/>
      <c r="AW62" s="454">
        <v>0</v>
      </c>
    </row>
    <row r="63" spans="1:49" s="1565" customFormat="1" ht="0" hidden="1" customHeight="1">
      <c r="A63" s="1298" t="s">
        <v>195</v>
      </c>
      <c r="B63" s="1298" t="s">
        <v>196</v>
      </c>
      <c r="C63" s="1297"/>
      <c r="D63" s="1297"/>
      <c r="E63" s="2531"/>
      <c r="F63" s="2530"/>
      <c r="G63" s="1297"/>
      <c r="H63" s="1297"/>
      <c r="I63" s="1297"/>
      <c r="J63" s="1297"/>
      <c r="K63" s="1297"/>
      <c r="L63" s="1297"/>
      <c r="M63" s="1300"/>
      <c r="N63" s="1302"/>
      <c r="O63" s="1302"/>
      <c r="P63" s="287"/>
      <c r="Q63" s="1239"/>
      <c r="R63" s="1240"/>
      <c r="S63" s="1239"/>
      <c r="T63" s="1239"/>
      <c r="U63" s="1245"/>
      <c r="V63" s="1248" t="s">
        <v>434</v>
      </c>
      <c r="W63" s="1247"/>
      <c r="X63" s="1247"/>
      <c r="Y63" s="1247"/>
      <c r="Z63" s="1247"/>
      <c r="AA63" s="1247"/>
      <c r="AB63" s="1247"/>
      <c r="AC63" s="1247"/>
      <c r="AD63" s="1247"/>
      <c r="AE63" s="1247"/>
      <c r="AF63" s="1247"/>
      <c r="AG63" s="1247"/>
      <c r="AH63" s="1247"/>
      <c r="AI63" s="1247"/>
      <c r="AJ63" s="1247"/>
      <c r="AK63" s="1247"/>
      <c r="AL63" s="1247"/>
      <c r="AM63" s="1247"/>
      <c r="AN63" s="1247"/>
      <c r="AO63" s="1247"/>
      <c r="AP63" s="1247"/>
      <c r="AQ63" s="1247"/>
      <c r="AS63" s="718"/>
      <c r="AT63" s="718" t="str">
        <f t="shared" si="2"/>
        <v>Добавить централизованную систему для дифференциации</v>
      </c>
      <c r="AU63" s="718"/>
      <c r="AV63" s="718"/>
      <c r="AW63" s="454">
        <v>0</v>
      </c>
    </row>
    <row r="64" spans="1:49" s="1565" customFormat="1" ht="0" hidden="1" customHeight="1">
      <c r="A64" s="1298" t="s">
        <v>195</v>
      </c>
      <c r="B64" s="1298"/>
      <c r="C64" s="1298"/>
      <c r="D64" s="1298"/>
      <c r="E64" s="2530"/>
      <c r="F64" s="1298"/>
      <c r="G64" s="1298"/>
      <c r="H64" s="1298"/>
      <c r="I64" s="1298"/>
      <c r="J64" s="1298"/>
      <c r="K64" s="1298"/>
      <c r="L64" s="1298"/>
      <c r="M64" s="1304"/>
      <c r="N64" s="1302"/>
      <c r="O64" s="1302"/>
      <c r="P64" s="287"/>
      <c r="Q64" s="316"/>
      <c r="R64" s="1267"/>
      <c r="S64" s="316"/>
      <c r="T64" s="316"/>
      <c r="U64" s="1245"/>
      <c r="V64" s="1248" t="s">
        <v>435</v>
      </c>
      <c r="W64" s="1247"/>
      <c r="X64" s="1247"/>
      <c r="Y64" s="1247"/>
      <c r="Z64" s="1247"/>
      <c r="AA64" s="1247"/>
      <c r="AB64" s="1247"/>
      <c r="AC64" s="1247"/>
      <c r="AD64" s="1247"/>
      <c r="AE64" s="1247"/>
      <c r="AF64" s="1247"/>
      <c r="AG64" s="1247"/>
      <c r="AH64" s="1247"/>
      <c r="AI64" s="1247"/>
      <c r="AJ64" s="1247"/>
      <c r="AK64" s="1247"/>
      <c r="AL64" s="1247"/>
      <c r="AM64" s="1247"/>
      <c r="AN64" s="1247"/>
      <c r="AO64" s="1247"/>
      <c r="AP64" s="1247"/>
      <c r="AQ64" s="1247"/>
      <c r="AS64" s="436"/>
      <c r="AT64" s="436" t="str">
        <f t="shared" si="2"/>
        <v>Добавить территорию для дифференциации</v>
      </c>
      <c r="AU64" s="436"/>
      <c r="AV64" s="436"/>
      <c r="AW64" s="447">
        <v>0</v>
      </c>
    </row>
    <row r="65" spans="1:49" s="1565" customFormat="1" ht="4.1500000000000004" customHeight="1">
      <c r="A65" s="1297"/>
      <c r="B65" s="1297"/>
      <c r="C65" s="1297"/>
      <c r="D65" s="1297"/>
      <c r="E65" s="1298"/>
      <c r="F65" s="1297"/>
      <c r="G65" s="1297"/>
      <c r="H65" s="1297"/>
      <c r="I65" s="1297"/>
      <c r="J65" s="1297"/>
      <c r="K65" s="1297"/>
      <c r="L65" s="1297"/>
      <c r="M65" s="1300"/>
      <c r="N65" s="1302"/>
      <c r="O65" s="1302"/>
      <c r="P65" s="287"/>
      <c r="Q65" s="1239"/>
      <c r="R65" s="1240"/>
      <c r="S65" s="1239"/>
      <c r="T65" s="1239"/>
      <c r="U65" s="1245"/>
      <c r="V65" s="1248" t="s">
        <v>463</v>
      </c>
      <c r="W65" s="1247"/>
      <c r="X65" s="1247"/>
      <c r="Y65" s="1247"/>
      <c r="Z65" s="1247"/>
      <c r="AA65" s="1247"/>
      <c r="AB65" s="1247"/>
      <c r="AC65" s="1247"/>
      <c r="AD65" s="1247"/>
      <c r="AE65" s="1247"/>
      <c r="AF65" s="1247"/>
      <c r="AG65" s="1247"/>
      <c r="AH65" s="1247"/>
      <c r="AI65" s="1247"/>
      <c r="AJ65" s="1247"/>
      <c r="AK65" s="1247"/>
      <c r="AL65" s="1247"/>
      <c r="AM65" s="1247"/>
      <c r="AN65" s="1247"/>
      <c r="AO65" s="1247"/>
      <c r="AP65" s="1247"/>
      <c r="AQ65" s="1247"/>
      <c r="AS65" s="718"/>
      <c r="AT65" s="718" t="str">
        <f t="shared" si="2"/>
        <v>Добавить наименование тарифа</v>
      </c>
      <c r="AU65" s="718"/>
      <c r="AV65" s="718"/>
      <c r="AW65" s="454">
        <v>4</v>
      </c>
    </row>
    <row r="66" spans="1:49" ht="11.45" customHeight="1">
      <c r="N66" s="1078"/>
      <c r="O66" s="1078"/>
      <c r="P66" s="445"/>
      <c r="Q66" s="1078"/>
      <c r="R66" s="1078"/>
      <c r="S66" s="1078"/>
      <c r="T66" s="1078"/>
      <c r="U66" s="1078"/>
      <c r="AR66" s="1078"/>
      <c r="AS66" s="1078"/>
      <c r="AT66" s="1078"/>
      <c r="AU66" s="1078"/>
      <c r="AV66" s="1078"/>
      <c r="AW66" s="1078">
        <v>11</v>
      </c>
    </row>
    <row r="67" spans="1:49" ht="35.65" customHeight="1">
      <c r="P67" s="445"/>
      <c r="U67" s="1176"/>
      <c r="V67" s="2526"/>
      <c r="W67" s="2526"/>
      <c r="X67" s="2526"/>
      <c r="Y67" s="2526"/>
      <c r="Z67" s="2526"/>
      <c r="AA67" s="2526"/>
      <c r="AB67" s="2526"/>
      <c r="AC67" s="2526"/>
      <c r="AD67" s="2526"/>
      <c r="AE67" s="2526"/>
      <c r="AF67" s="2526"/>
      <c r="AG67" s="2526"/>
      <c r="AH67" s="2526"/>
      <c r="AI67" s="2526"/>
      <c r="AJ67" s="2526"/>
      <c r="AK67" s="2526"/>
      <c r="AL67" s="2526"/>
      <c r="AM67" s="2526"/>
      <c r="AN67" s="2526"/>
      <c r="AO67" s="2526"/>
      <c r="AP67" s="2526"/>
      <c r="AQ67" s="2526"/>
      <c r="AW67" s="1078">
        <v>34</v>
      </c>
    </row>
    <row r="68" spans="1:49" ht="21" customHeight="1">
      <c r="P68" s="445"/>
      <c r="V68" s="2526"/>
      <c r="W68" s="2526"/>
      <c r="X68" s="2526"/>
      <c r="Y68" s="2526"/>
      <c r="Z68" s="2526"/>
      <c r="AA68" s="2526"/>
      <c r="AB68" s="2526"/>
      <c r="AC68" s="2526"/>
      <c r="AD68" s="2526"/>
      <c r="AE68" s="2526"/>
      <c r="AF68" s="2526"/>
      <c r="AG68" s="2526"/>
      <c r="AH68" s="2526"/>
      <c r="AI68" s="2526"/>
      <c r="AJ68" s="2526"/>
      <c r="AK68" s="2526"/>
      <c r="AL68" s="2526"/>
      <c r="AM68" s="2526"/>
      <c r="AN68" s="2526"/>
      <c r="AO68" s="2526"/>
      <c r="AP68" s="2526"/>
      <c r="AQ68" s="2526"/>
      <c r="AW68" s="1078">
        <v>20</v>
      </c>
    </row>
    <row r="69" spans="1:49" ht="14.65" customHeight="1">
      <c r="P69" s="445"/>
      <c r="AW69" s="1078">
        <v>14</v>
      </c>
    </row>
    <row r="70" spans="1:49" ht="28.5" customHeight="1">
      <c r="P70" s="445"/>
      <c r="V70" s="2526"/>
      <c r="W70" s="2526"/>
      <c r="X70" s="2526"/>
      <c r="Y70" s="2526"/>
      <c r="Z70" s="2526"/>
      <c r="AA70" s="2526"/>
      <c r="AB70" s="2526"/>
      <c r="AC70" s="2526"/>
      <c r="AD70" s="2526"/>
      <c r="AE70" s="2526"/>
      <c r="AF70" s="2526"/>
      <c r="AG70" s="2526"/>
      <c r="AH70" s="2526"/>
      <c r="AI70" s="2526"/>
      <c r="AJ70" s="2526"/>
      <c r="AK70" s="2526"/>
      <c r="AL70" s="2526"/>
      <c r="AM70" s="2526"/>
      <c r="AN70" s="2526"/>
      <c r="AO70" s="2526"/>
      <c r="AP70" s="2526"/>
      <c r="AQ70" s="2526"/>
      <c r="AW70" s="1078">
        <v>27</v>
      </c>
    </row>
    <row r="71" spans="1:49" ht="18.75" customHeight="1">
      <c r="P71" s="445"/>
      <c r="V71" s="2526"/>
      <c r="W71" s="2526"/>
      <c r="X71" s="2526"/>
      <c r="Y71" s="2526"/>
      <c r="Z71" s="2526"/>
      <c r="AA71" s="2526"/>
      <c r="AB71" s="2526"/>
      <c r="AC71" s="2526"/>
      <c r="AD71" s="2526"/>
      <c r="AE71" s="2526"/>
      <c r="AF71" s="2526"/>
      <c r="AG71" s="2526"/>
      <c r="AH71" s="2526"/>
      <c r="AI71" s="2526"/>
      <c r="AJ71" s="2526"/>
      <c r="AK71" s="2526"/>
      <c r="AL71" s="2526"/>
      <c r="AM71" s="2526"/>
      <c r="AN71" s="2526"/>
      <c r="AO71" s="2526"/>
      <c r="AP71" s="2526"/>
      <c r="AQ71" s="2526"/>
      <c r="AW71" s="1078">
        <v>18</v>
      </c>
    </row>
    <row r="72" spans="1:49" ht="22.5" hidden="1" customHeight="1">
      <c r="A72" s="1078" t="s">
        <v>83</v>
      </c>
      <c r="B72" s="1078">
        <v>0</v>
      </c>
      <c r="C72" s="1078">
        <v>0</v>
      </c>
      <c r="D72" s="1078">
        <v>0</v>
      </c>
      <c r="E72" s="1078">
        <v>0</v>
      </c>
      <c r="F72" s="1078">
        <v>0</v>
      </c>
      <c r="G72" s="1078">
        <v>0</v>
      </c>
      <c r="H72" s="1078">
        <v>0</v>
      </c>
      <c r="I72" s="1078">
        <v>0</v>
      </c>
      <c r="J72" s="1078">
        <v>0</v>
      </c>
      <c r="K72" s="1078">
        <v>0</v>
      </c>
      <c r="L72" s="1078">
        <v>0</v>
      </c>
      <c r="M72" s="1250">
        <v>0</v>
      </c>
      <c r="N72" s="1251">
        <v>0</v>
      </c>
      <c r="O72" s="1251">
        <v>0</v>
      </c>
      <c r="P72" s="1251">
        <v>0</v>
      </c>
      <c r="Q72" s="1251">
        <v>0</v>
      </c>
      <c r="R72" s="281">
        <v>3</v>
      </c>
      <c r="S72" s="281">
        <v>3</v>
      </c>
      <c r="T72" s="281">
        <v>3</v>
      </c>
      <c r="U72" s="517">
        <v>12</v>
      </c>
      <c r="V72" s="1078">
        <v>31</v>
      </c>
      <c r="W72" s="1078">
        <v>0</v>
      </c>
      <c r="X72" s="1078">
        <v>0</v>
      </c>
      <c r="Y72" s="1078">
        <v>0</v>
      </c>
      <c r="Z72" s="1078">
        <v>0</v>
      </c>
      <c r="AA72" s="1078">
        <v>0</v>
      </c>
      <c r="AB72" s="1078">
        <v>0</v>
      </c>
      <c r="AC72" s="1078">
        <v>0</v>
      </c>
      <c r="AD72" s="1078">
        <v>0</v>
      </c>
      <c r="AE72" s="1078">
        <v>0</v>
      </c>
      <c r="AF72" s="1078">
        <v>0</v>
      </c>
      <c r="AG72" s="1078">
        <v>21</v>
      </c>
      <c r="AH72" s="1078">
        <v>21</v>
      </c>
      <c r="AI72" s="1078">
        <v>21</v>
      </c>
      <c r="AJ72" s="1078">
        <v>21</v>
      </c>
      <c r="AK72" s="1078">
        <v>21</v>
      </c>
      <c r="AL72" s="1078">
        <v>11</v>
      </c>
      <c r="AM72" s="1078">
        <v>3</v>
      </c>
      <c r="AN72" s="1078">
        <v>11</v>
      </c>
      <c r="AO72" s="1078">
        <v>8</v>
      </c>
      <c r="AP72" s="1078">
        <v>4</v>
      </c>
      <c r="AQ72" s="1078">
        <v>115</v>
      </c>
      <c r="AR72" s="447">
        <v>10</v>
      </c>
      <c r="AS72" s="447">
        <v>10</v>
      </c>
      <c r="AT72" s="447">
        <v>10</v>
      </c>
      <c r="AU72" s="447">
        <v>10</v>
      </c>
      <c r="AV72" s="447">
        <v>10</v>
      </c>
      <c r="AW72" s="1078">
        <v>23</v>
      </c>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1" zoomScale="90" workbookViewId="0">
      <selection activeCell="F59" sqref="F59"/>
    </sheetView>
  </sheetViews>
  <sheetFormatPr defaultColWidth="9.140625" defaultRowHeight="11.25" customHeight="1"/>
  <cols>
    <col min="1" max="1" width="10.7109375" style="716" hidden="1" customWidth="1"/>
    <col min="2" max="2" width="10.7109375" style="668" hidden="1" customWidth="1"/>
    <col min="3" max="3" width="3" style="466" customWidth="1"/>
    <col min="4" max="4" width="1" style="1558" customWidth="1"/>
    <col min="5" max="6" width="55" style="1558" customWidth="1"/>
    <col min="7" max="7" width="1" style="2015" customWidth="1"/>
    <col min="8" max="8" width="18" style="1558" hidden="1" customWidth="1"/>
    <col min="9" max="9" width="59" style="467" customWidth="1"/>
    <col min="10" max="10" width="52.140625" style="1289" hidden="1" customWidth="1"/>
    <col min="11" max="11" width="8" style="1558" customWidth="1"/>
    <col min="12" max="12" width="77" style="1558" customWidth="1"/>
    <col min="13" max="16" width="8" style="1558" customWidth="1"/>
    <col min="17" max="17" width="12" style="1558" hidden="1" customWidth="1"/>
  </cols>
  <sheetData>
    <row r="1" spans="1:17" s="558" customFormat="1" ht="3" customHeight="1">
      <c r="A1" s="712"/>
      <c r="B1" s="178"/>
      <c r="F1" s="179" t="s">
        <v>13</v>
      </c>
      <c r="G1" s="347"/>
      <c r="H1" s="10"/>
      <c r="I1" s="347"/>
      <c r="J1" s="800"/>
      <c r="Q1" s="179" t="s">
        <v>14</v>
      </c>
    </row>
    <row r="2" spans="1:17" s="1555" customFormat="1" ht="14.25" customHeight="1">
      <c r="A2" s="712"/>
      <c r="B2" s="37"/>
      <c r="E2" s="1661" t="str">
        <f>code</f>
        <v>Код отчёта: PP110.OPEN.INFO.BALANCE.HEAT.EIAS</v>
      </c>
      <c r="F2" s="206"/>
      <c r="G2" s="182"/>
      <c r="H2" s="182"/>
      <c r="I2" s="182"/>
      <c r="J2" s="801"/>
      <c r="K2" s="182"/>
      <c r="Q2" s="10">
        <v>14</v>
      </c>
    </row>
    <row r="3" spans="1:17" ht="14.65" customHeight="1">
      <c r="E3" s="183" t="str">
        <f>version</f>
        <v>Версия отчёта: 1.1.6</v>
      </c>
      <c r="F3" s="206"/>
      <c r="G3" s="700"/>
      <c r="H3" s="700"/>
      <c r="I3" s="700"/>
      <c r="J3" s="802"/>
      <c r="K3" s="27"/>
      <c r="Q3" s="13">
        <v>14</v>
      </c>
    </row>
    <row r="4" spans="1:17" s="1535" customFormat="1" ht="6.4" customHeight="1">
      <c r="A4" s="713"/>
      <c r="B4" s="169"/>
      <c r="C4" s="170"/>
      <c r="D4" s="171"/>
      <c r="E4" s="180"/>
      <c r="F4" s="181"/>
      <c r="G4" s="701"/>
      <c r="H4" s="345"/>
      <c r="I4" s="347"/>
      <c r="J4" s="803"/>
      <c r="Q4" s="173">
        <v>6</v>
      </c>
    </row>
    <row r="5" spans="1:17" ht="39.75" customHeight="1">
      <c r="D5" s="14"/>
      <c r="E5" s="2349"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350"/>
      <c r="G5" s="702"/>
      <c r="J5" s="804"/>
      <c r="Q5" s="13">
        <v>38</v>
      </c>
    </row>
    <row r="6" spans="1:17" s="1535" customFormat="1" ht="6.4" customHeight="1">
      <c r="A6" s="713"/>
      <c r="B6" s="169"/>
      <c r="C6" s="170"/>
      <c r="D6" s="171"/>
      <c r="E6" s="174"/>
      <c r="F6" s="175"/>
      <c r="G6" s="702"/>
      <c r="H6" s="345"/>
      <c r="I6" s="347"/>
      <c r="J6" s="803"/>
      <c r="Q6" s="173">
        <v>6</v>
      </c>
    </row>
    <row r="7" spans="1:17" ht="21" customHeight="1">
      <c r="D7" s="14"/>
      <c r="E7" s="327" t="s">
        <v>15</v>
      </c>
      <c r="F7" s="152" t="s">
        <v>16</v>
      </c>
      <c r="G7" s="702"/>
      <c r="Q7" s="13">
        <v>20</v>
      </c>
    </row>
    <row r="8" spans="1:17" s="1535" customFormat="1" ht="6.4" customHeight="1">
      <c r="A8" s="714"/>
      <c r="B8" s="169"/>
      <c r="C8" s="170"/>
      <c r="D8" s="176"/>
      <c r="E8" s="174"/>
      <c r="F8" s="177"/>
      <c r="G8" s="16"/>
      <c r="H8" s="345"/>
      <c r="I8" s="347"/>
      <c r="J8" s="806"/>
      <c r="Q8" s="173">
        <v>6</v>
      </c>
    </row>
    <row r="9" spans="1:17" s="1558" customFormat="1" ht="19.5" hidden="1" customHeight="1">
      <c r="A9" s="713"/>
      <c r="B9" s="37"/>
      <c r="C9" s="344"/>
      <c r="D9" s="346"/>
      <c r="E9" s="1088" t="s">
        <v>17</v>
      </c>
      <c r="F9" s="1838"/>
      <c r="G9" s="702"/>
      <c r="I9" s="1817" t="str">
        <f>IF(TITLE_STRUCTURE_INFO_ROIV="","","раскрывается "&amp;INDEX(ROIV_INFO_COMMENT,MATCH(TITLE_STRUCTURE_INFO_ROIV,ROIV_INFO_LIST,0)))</f>
        <v/>
      </c>
      <c r="J9" s="805"/>
      <c r="Q9" s="345">
        <v>0</v>
      </c>
    </row>
    <row r="10" spans="1:17" s="1535" customFormat="1" ht="24" hidden="1" customHeight="1">
      <c r="A10" s="714"/>
      <c r="B10" s="362"/>
      <c r="C10" s="363"/>
      <c r="D10" s="176"/>
      <c r="E10" s="1088" t="s">
        <v>18</v>
      </c>
      <c r="F10" s="1980" t="s">
        <v>19</v>
      </c>
      <c r="G10" s="16"/>
      <c r="H10" s="345"/>
      <c r="I10" s="347"/>
      <c r="J10" s="806"/>
      <c r="Q10" s="366">
        <v>24</v>
      </c>
    </row>
    <row r="11" spans="1:17" ht="22.5" hidden="1" customHeight="1">
      <c r="A11" s="2352" t="s">
        <v>20</v>
      </c>
      <c r="D11" s="14"/>
      <c r="E11" s="1088" t="s">
        <v>21</v>
      </c>
      <c r="F11" s="1653" t="s">
        <v>22</v>
      </c>
      <c r="G11" s="16"/>
      <c r="H11" s="703" t="s">
        <v>23</v>
      </c>
      <c r="J11" s="805" t="s">
        <v>24</v>
      </c>
      <c r="Q11" s="13">
        <v>0</v>
      </c>
    </row>
    <row r="12" spans="1:17" ht="22.5" hidden="1" customHeight="1">
      <c r="A12" s="2352"/>
      <c r="D12" s="14"/>
      <c r="E12" s="1088" t="s">
        <v>25</v>
      </c>
      <c r="F12" s="1653"/>
      <c r="G12" s="12"/>
      <c r="J12" s="805" t="s">
        <v>26</v>
      </c>
      <c r="Q12" s="13">
        <v>0</v>
      </c>
    </row>
    <row r="13" spans="1:17" s="1558" customFormat="1" ht="22.5" hidden="1" customHeight="1">
      <c r="A13" s="717" t="s">
        <v>27</v>
      </c>
      <c r="B13" s="37"/>
      <c r="C13" s="344"/>
      <c r="D13" s="346"/>
      <c r="E13" s="1695" t="s">
        <v>28</v>
      </c>
      <c r="F13" s="1653" t="s">
        <v>22</v>
      </c>
      <c r="G13" s="16"/>
      <c r="H13" s="700"/>
      <c r="I13" s="347"/>
      <c r="J13" s="1696" t="s">
        <v>29</v>
      </c>
      <c r="Q13" s="345">
        <v>0</v>
      </c>
    </row>
    <row r="14" spans="1:17" s="1558" customFormat="1" ht="27" customHeight="1">
      <c r="A14" s="717" t="s">
        <v>30</v>
      </c>
      <c r="B14" s="37"/>
      <c r="C14" s="344"/>
      <c r="D14" s="346"/>
      <c r="E14" s="1088" t="s">
        <v>31</v>
      </c>
      <c r="F14" s="1688">
        <v>2025</v>
      </c>
      <c r="G14" s="16"/>
      <c r="H14" s="700"/>
      <c r="I14" s="347"/>
      <c r="J14" s="805" t="s">
        <v>32</v>
      </c>
      <c r="Q14" s="345">
        <v>0</v>
      </c>
    </row>
    <row r="15" spans="1:17" s="1558" customFormat="1" ht="19.5" hidden="1" customHeight="1">
      <c r="A15" s="717" t="s">
        <v>33</v>
      </c>
      <c r="B15" s="37"/>
      <c r="C15" s="344"/>
      <c r="D15" s="346"/>
      <c r="E15" s="1088" t="s">
        <v>34</v>
      </c>
      <c r="F15" s="1688"/>
      <c r="G15" s="16"/>
      <c r="H15" s="700"/>
      <c r="I15" s="347"/>
      <c r="J15" s="805" t="s">
        <v>35</v>
      </c>
      <c r="Q15" s="345">
        <v>0</v>
      </c>
    </row>
    <row r="16" spans="1:17" s="1558" customFormat="1" ht="19.5" hidden="1" customHeight="1">
      <c r="A16" s="713"/>
      <c r="B16" s="37"/>
      <c r="C16" s="344"/>
      <c r="D16" s="346"/>
      <c r="E16" s="1088" t="s">
        <v>36</v>
      </c>
      <c r="F16" s="1133"/>
      <c r="G16" s="393"/>
      <c r="H16" s="703" t="s">
        <v>23</v>
      </c>
      <c r="I16" s="347"/>
      <c r="J16" s="805"/>
      <c r="Q16" s="345">
        <v>20</v>
      </c>
    </row>
    <row r="17" spans="1:17" ht="21" customHeight="1">
      <c r="D17" s="14"/>
      <c r="E17" s="327" t="s">
        <v>37</v>
      </c>
      <c r="F17" s="153" t="s">
        <v>38</v>
      </c>
      <c r="G17" s="12"/>
      <c r="H17" s="703" t="s">
        <v>23</v>
      </c>
      <c r="Q17" s="13">
        <v>20</v>
      </c>
    </row>
    <row r="18" spans="1:17" ht="25.5" hidden="1" customHeight="1">
      <c r="D18" s="14"/>
      <c r="E18" s="1695" t="s">
        <v>39</v>
      </c>
      <c r="F18" s="1654"/>
      <c r="G18" s="12"/>
      <c r="I18" s="704"/>
      <c r="J18" s="2351" t="s">
        <v>40</v>
      </c>
      <c r="Q18" s="13">
        <v>0</v>
      </c>
    </row>
    <row r="19" spans="1:17" ht="25.5" hidden="1" customHeight="1">
      <c r="D19" s="14"/>
      <c r="E19" s="1088"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4"/>
      <c r="G19" s="12"/>
      <c r="I19" s="704"/>
      <c r="J19" s="2351"/>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0"/>
      <c r="J20" s="804" t="s">
        <v>41</v>
      </c>
      <c r="Q20" s="13">
        <v>0</v>
      </c>
    </row>
    <row r="21" spans="1:17" ht="19.5" hidden="1" customHeight="1">
      <c r="D21" s="14"/>
      <c r="E21" s="327" t="str">
        <f>"Дата "&amp;IF(TEMPLATE_GROUP="P","документа","подачи заявления")&amp;" об утверждении тарифов"</f>
        <v>Дата подачи заявления об утверждении тарифов</v>
      </c>
      <c r="F21" s="1653"/>
      <c r="G21" s="12"/>
      <c r="I21" s="705"/>
      <c r="Q21" s="13">
        <v>0</v>
      </c>
    </row>
    <row r="22" spans="1:17" ht="19.5" hidden="1" customHeight="1">
      <c r="D22" s="14"/>
      <c r="E22" s="327" t="str">
        <f>"Номер "&amp;IF(TEMPLATE_GROUP="P","документа","подачи заявления")&amp;" об утверждении тарифов"</f>
        <v>Номер подачи заявления об утверждении тарифов</v>
      </c>
      <c r="F22" s="153"/>
      <c r="G22" s="12"/>
      <c r="I22" s="705"/>
      <c r="Q22" s="13">
        <v>0</v>
      </c>
    </row>
    <row r="23" spans="1:17" ht="22.5" hidden="1" customHeight="1">
      <c r="D23" s="14"/>
      <c r="E23" s="327" t="s">
        <v>42</v>
      </c>
      <c r="F23" s="153"/>
      <c r="G23" s="12"/>
      <c r="Q23" s="13">
        <v>0</v>
      </c>
    </row>
    <row r="24" spans="1:17" ht="19.5" hidden="1" customHeight="1">
      <c r="D24" s="14"/>
      <c r="E24" s="327" t="s">
        <v>43</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4" t="s">
        <v>44</v>
      </c>
      <c r="Q25" s="13">
        <v>0</v>
      </c>
    </row>
    <row r="26" spans="1:17" ht="19.5" hidden="1" customHeight="1">
      <c r="D26" s="14"/>
      <c r="E26" s="327" t="str">
        <f>"Дата "&amp;IF(TEMPLATE_GROUP="P","принятия решения","подачи заявления")&amp;" об изменении тарифов"</f>
        <v>Дата подачи заявления об изменении тарифов</v>
      </c>
      <c r="F26" s="1654"/>
      <c r="G26" s="12"/>
      <c r="Q26" s="13">
        <v>0</v>
      </c>
    </row>
    <row r="27" spans="1:17" ht="19.5" hidden="1" customHeight="1">
      <c r="D27" s="14"/>
      <c r="E27" s="1088"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7" t="s">
        <v>45</v>
      </c>
      <c r="F28" s="155"/>
      <c r="G28" s="12"/>
      <c r="Q28" s="13">
        <v>0</v>
      </c>
    </row>
    <row r="29" spans="1:17" ht="19.5" hidden="1" customHeight="1">
      <c r="D29" s="14"/>
      <c r="E29" s="327" t="s">
        <v>43</v>
      </c>
      <c r="F29" s="155"/>
      <c r="G29" s="12"/>
      <c r="Q29" s="13">
        <v>0</v>
      </c>
    </row>
    <row r="30" spans="1:17" s="1535" customFormat="1" ht="6.4" customHeight="1">
      <c r="A30" s="714"/>
      <c r="B30" s="169"/>
      <c r="C30" s="170"/>
      <c r="D30" s="176"/>
      <c r="E30" s="174"/>
      <c r="F30" s="177"/>
      <c r="G30" s="16"/>
      <c r="H30" s="345"/>
      <c r="I30" s="347"/>
      <c r="J30" s="803"/>
      <c r="Q30" s="173">
        <v>6</v>
      </c>
    </row>
    <row r="31" spans="1:17" ht="21" customHeight="1">
      <c r="C31" s="17"/>
      <c r="D31" s="18"/>
      <c r="E31" s="327" t="str">
        <f>"Наименование "&amp;IF(TEMPLATE_GROUP="ROIV","органа тарифного регулирования","ЮЛ / ИП")</f>
        <v>Наименование ЮЛ / ИП</v>
      </c>
      <c r="F31" s="154" t="s">
        <v>46</v>
      </c>
      <c r="G31" s="706"/>
      <c r="Q31" s="13">
        <v>20</v>
      </c>
    </row>
    <row r="32" spans="1:17" ht="21" hidden="1" customHeight="1">
      <c r="C32" s="17"/>
      <c r="D32" s="18"/>
      <c r="E32" s="328" t="s">
        <v>47</v>
      </c>
      <c r="F32" s="154"/>
      <c r="G32" s="706"/>
      <c r="Q32" s="13">
        <v>20</v>
      </c>
    </row>
    <row r="33" spans="1:17" ht="21" customHeight="1">
      <c r="C33" s="17"/>
      <c r="D33" s="18"/>
      <c r="E33" s="327" t="s">
        <v>48</v>
      </c>
      <c r="F33" s="154" t="s">
        <v>49</v>
      </c>
      <c r="G33" s="706"/>
      <c r="Q33" s="13">
        <v>20</v>
      </c>
    </row>
    <row r="34" spans="1:17" ht="21" customHeight="1">
      <c r="C34" s="17"/>
      <c r="D34" s="18"/>
      <c r="E34" s="327" t="s">
        <v>50</v>
      </c>
      <c r="F34" s="154" t="s">
        <v>51</v>
      </c>
      <c r="G34" s="706"/>
      <c r="H34" s="19"/>
      <c r="Q34" s="13">
        <v>20</v>
      </c>
    </row>
    <row r="35" spans="1:17" s="1535" customFormat="1" ht="11.45" customHeight="1">
      <c r="A35" s="714"/>
      <c r="B35" s="169"/>
      <c r="C35" s="170"/>
      <c r="D35" s="176"/>
      <c r="E35" s="174"/>
      <c r="F35" s="177"/>
      <c r="G35" s="16"/>
      <c r="H35" s="345"/>
      <c r="I35" s="347"/>
      <c r="J35" s="803"/>
      <c r="Q35" s="173">
        <v>11</v>
      </c>
    </row>
    <row r="36" spans="1:17" ht="19.5" customHeight="1">
      <c r="A36" s="808"/>
      <c r="D36" s="18"/>
      <c r="E36" s="327" t="s">
        <v>52</v>
      </c>
      <c r="F36" s="1133" t="s">
        <v>53</v>
      </c>
      <c r="G36" s="16"/>
      <c r="Q36" s="13">
        <v>0</v>
      </c>
    </row>
    <row r="37" spans="1:17" ht="21" customHeight="1">
      <c r="A37" s="808"/>
      <c r="D37" s="18"/>
      <c r="E37" s="327" t="s">
        <v>54</v>
      </c>
      <c r="F37" s="1133" t="s">
        <v>55</v>
      </c>
      <c r="G37" s="16"/>
      <c r="Q37" s="13">
        <v>20</v>
      </c>
    </row>
    <row r="38" spans="1:17" s="1535" customFormat="1" ht="6.4" customHeight="1">
      <c r="A38" s="714"/>
      <c r="B38" s="169"/>
      <c r="C38" s="170"/>
      <c r="D38" s="171"/>
      <c r="E38" s="172"/>
      <c r="F38" s="980"/>
      <c r="G38" s="12"/>
      <c r="H38" s="345"/>
      <c r="I38" s="347"/>
      <c r="J38" s="805"/>
      <c r="Q38" s="173">
        <v>6</v>
      </c>
    </row>
    <row r="39" spans="1:17" ht="36.75" customHeight="1">
      <c r="A39" s="714"/>
      <c r="D39" s="14"/>
      <c r="E39" s="327" t="s">
        <v>56</v>
      </c>
      <c r="F39" s="646" t="s">
        <v>19</v>
      </c>
      <c r="G39" s="12"/>
      <c r="H39" s="703" t="s">
        <v>23</v>
      </c>
      <c r="Q39" s="13">
        <v>35</v>
      </c>
    </row>
    <row r="40" spans="1:17" s="1535" customFormat="1" ht="6" hidden="1" customHeight="1">
      <c r="A40" s="713"/>
      <c r="B40" s="362"/>
      <c r="C40" s="363"/>
      <c r="D40" s="364"/>
      <c r="E40" s="365"/>
      <c r="F40" s="980"/>
      <c r="G40" s="12"/>
      <c r="H40" s="345"/>
      <c r="I40" s="347"/>
      <c r="J40" s="805"/>
      <c r="Q40" s="366">
        <v>6</v>
      </c>
    </row>
    <row r="41" spans="1:17" s="1558" customFormat="1" ht="26.25" hidden="1" customHeight="1">
      <c r="A41" s="717" t="s">
        <v>27</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6" t="s">
        <v>19</v>
      </c>
      <c r="G41" s="12"/>
      <c r="I41" s="347"/>
      <c r="J41" s="805"/>
      <c r="Q41" s="345">
        <v>0</v>
      </c>
    </row>
    <row r="42" spans="1:17" s="1535" customFormat="1" ht="6" hidden="1" customHeight="1">
      <c r="A42" s="713"/>
      <c r="B42" s="362"/>
      <c r="C42" s="363"/>
      <c r="D42" s="364"/>
      <c r="E42" s="365"/>
      <c r="F42" s="980"/>
      <c r="G42" s="12"/>
      <c r="H42" s="345"/>
      <c r="I42" s="347"/>
      <c r="J42" s="803"/>
      <c r="Q42" s="366">
        <v>0</v>
      </c>
    </row>
    <row r="43" spans="1:17" s="1558" customFormat="1" ht="27" hidden="1" customHeight="1">
      <c r="A43" s="713"/>
      <c r="B43" s="349"/>
      <c r="C43" s="344"/>
      <c r="D43" s="346"/>
      <c r="E43" s="327" t="s">
        <v>57</v>
      </c>
      <c r="F43" s="646" t="s">
        <v>19</v>
      </c>
      <c r="G43" s="12"/>
      <c r="I43" s="347"/>
      <c r="J43" s="805"/>
      <c r="Q43" s="345">
        <v>0</v>
      </c>
    </row>
    <row r="44" spans="1:17" s="1558" customFormat="1" ht="27" hidden="1" customHeight="1">
      <c r="A44" s="713"/>
      <c r="B44" s="349"/>
      <c r="C44" s="344"/>
      <c r="D44" s="346"/>
      <c r="E44" s="1088" t="s">
        <v>58</v>
      </c>
      <c r="F44" s="1805"/>
      <c r="G44" s="12"/>
      <c r="I44" s="347"/>
      <c r="J44" s="805"/>
      <c r="Q44" s="345">
        <v>0</v>
      </c>
    </row>
    <row r="45" spans="1:17" s="1535" customFormat="1" ht="6" hidden="1" customHeight="1">
      <c r="A45" s="713"/>
      <c r="B45" s="362"/>
      <c r="C45" s="363"/>
      <c r="D45" s="364"/>
      <c r="E45" s="365"/>
      <c r="F45" s="980"/>
      <c r="G45" s="12"/>
      <c r="H45" s="345"/>
      <c r="I45" s="347"/>
      <c r="J45" s="805"/>
      <c r="Q45" s="366">
        <v>0</v>
      </c>
    </row>
    <row r="46" spans="1:17" s="1535" customFormat="1" ht="24.75" hidden="1" customHeight="1">
      <c r="A46" s="713"/>
      <c r="B46" s="362"/>
      <c r="C46" s="363"/>
      <c r="D46" s="364"/>
      <c r="E46" s="1088" t="s">
        <v>59</v>
      </c>
      <c r="F46" s="646" t="s">
        <v>19</v>
      </c>
      <c r="G46" s="12"/>
      <c r="H46" s="345"/>
      <c r="I46" s="347"/>
      <c r="J46" s="805"/>
      <c r="Q46" s="366">
        <v>0</v>
      </c>
    </row>
    <row r="47" spans="1:17" s="1558" customFormat="1" ht="24.75" hidden="1" customHeight="1">
      <c r="A47" s="713"/>
      <c r="B47" s="349"/>
      <c r="C47" s="344"/>
      <c r="D47" s="346"/>
      <c r="E47" s="1088" t="s">
        <v>60</v>
      </c>
      <c r="F47" s="646" t="s">
        <v>19</v>
      </c>
      <c r="G47" s="12"/>
      <c r="I47" s="347"/>
      <c r="J47" s="805"/>
      <c r="Q47" s="345">
        <v>0</v>
      </c>
    </row>
    <row r="48" spans="1:17" s="1535" customFormat="1" ht="6" hidden="1" customHeight="1">
      <c r="A48" s="713"/>
      <c r="B48" s="169"/>
      <c r="C48" s="170"/>
      <c r="D48" s="171"/>
      <c r="E48" s="172"/>
      <c r="F48" s="980"/>
      <c r="G48" s="12"/>
      <c r="H48" s="345"/>
      <c r="I48" s="347"/>
      <c r="J48" s="805"/>
      <c r="Q48" s="173">
        <v>0</v>
      </c>
    </row>
    <row r="49" spans="1:17" ht="29.25" hidden="1" customHeight="1">
      <c r="B49" s="85"/>
      <c r="D49" s="14"/>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6"/>
      <c r="G49" s="12"/>
      <c r="Q49" s="13">
        <v>0</v>
      </c>
    </row>
    <row r="50" spans="1:17" s="1535" customFormat="1" ht="6" customHeight="1">
      <c r="A50" s="714"/>
      <c r="B50" s="362"/>
      <c r="C50" s="363"/>
      <c r="D50" s="176"/>
      <c r="E50" s="174"/>
      <c r="F50" s="177"/>
      <c r="G50" s="16"/>
      <c r="H50" s="345"/>
      <c r="I50" s="347"/>
      <c r="J50" s="805"/>
      <c r="Q50" s="366">
        <v>0</v>
      </c>
    </row>
    <row r="51" spans="1:17" s="1558" customFormat="1" ht="28.5" customHeight="1">
      <c r="A51" s="715"/>
      <c r="B51" s="349"/>
      <c r="C51" s="466"/>
      <c r="D51" s="467"/>
      <c r="E51" s="327" t="s">
        <v>61</v>
      </c>
      <c r="F51" s="646" t="s">
        <v>19</v>
      </c>
      <c r="G51" s="468"/>
      <c r="I51" s="470"/>
      <c r="J51" s="807"/>
      <c r="P51" s="471"/>
      <c r="Q51" s="469">
        <v>0</v>
      </c>
    </row>
    <row r="52" spans="1:17" s="1535" customFormat="1" ht="6" customHeight="1">
      <c r="A52" s="714"/>
      <c r="B52" s="362"/>
      <c r="C52" s="363"/>
      <c r="D52" s="176"/>
      <c r="E52" s="174"/>
      <c r="F52" s="177"/>
      <c r="G52" s="16"/>
      <c r="H52" s="345"/>
      <c r="I52" s="347"/>
      <c r="J52" s="803"/>
      <c r="Q52" s="366">
        <v>0</v>
      </c>
    </row>
    <row r="53" spans="1:17" s="1558" customFormat="1" ht="27" customHeight="1">
      <c r="A53" s="715"/>
      <c r="B53" s="349"/>
      <c r="C53" s="466"/>
      <c r="D53" s="467"/>
      <c r="E53" s="327" t="s">
        <v>62</v>
      </c>
      <c r="F53" s="975" t="s">
        <v>63</v>
      </c>
      <c r="G53" s="468"/>
      <c r="I53" s="470"/>
      <c r="J53" s="807"/>
      <c r="P53" s="471"/>
      <c r="Q53" s="469">
        <v>0</v>
      </c>
    </row>
    <row r="54" spans="1:17" s="1558" customFormat="1" ht="27" customHeight="1">
      <c r="A54" s="715"/>
      <c r="B54" s="349"/>
      <c r="C54" s="466"/>
      <c r="D54" s="467"/>
      <c r="E54" s="327" t="s">
        <v>64</v>
      </c>
      <c r="F54" s="2058">
        <v>46094.478946759256</v>
      </c>
      <c r="G54" s="468"/>
      <c r="I54" s="470"/>
      <c r="J54" s="807"/>
      <c r="P54" s="471"/>
      <c r="Q54" s="469">
        <v>0</v>
      </c>
    </row>
    <row r="55" spans="1:17" s="1535" customFormat="1" ht="6" customHeight="1">
      <c r="A55" s="714"/>
      <c r="B55" s="362"/>
      <c r="C55" s="363"/>
      <c r="D55" s="176"/>
      <c r="E55" s="174"/>
      <c r="F55" s="177"/>
      <c r="G55" s="16"/>
      <c r="H55" s="345"/>
      <c r="I55" s="347"/>
      <c r="J55" s="803"/>
      <c r="Q55" s="366">
        <v>0</v>
      </c>
    </row>
    <row r="56" spans="1:17" s="1558" customFormat="1" ht="25.5" customHeight="1">
      <c r="A56" s="715"/>
      <c r="B56" s="349"/>
      <c r="C56" s="466"/>
      <c r="D56" s="467"/>
      <c r="E56" s="327" t="s">
        <v>65</v>
      </c>
      <c r="F56" s="975" t="s">
        <v>19</v>
      </c>
      <c r="G56" s="468"/>
      <c r="I56" s="470"/>
      <c r="J56" s="807"/>
      <c r="P56" s="471"/>
      <c r="Q56" s="469">
        <v>0</v>
      </c>
    </row>
    <row r="57" spans="1:17" s="1535" customFormat="1" ht="6" customHeight="1">
      <c r="A57" s="714"/>
      <c r="B57" s="362"/>
      <c r="C57" s="363"/>
      <c r="D57" s="176"/>
      <c r="E57" s="174"/>
      <c r="F57" s="177"/>
      <c r="G57" s="16"/>
      <c r="H57" s="345"/>
      <c r="I57" s="347"/>
      <c r="J57" s="803"/>
      <c r="Q57" s="366">
        <v>0</v>
      </c>
    </row>
    <row r="58" spans="1:17" s="1558" customFormat="1" ht="15" customHeight="1">
      <c r="A58" s="715"/>
      <c r="B58" s="349"/>
      <c r="C58" s="466"/>
      <c r="D58" s="467"/>
      <c r="E58" s="327" t="s">
        <v>66</v>
      </c>
      <c r="F58" s="975" t="s">
        <v>63</v>
      </c>
      <c r="G58" s="468"/>
      <c r="I58" s="470"/>
      <c r="J58" s="807"/>
      <c r="P58" s="471"/>
      <c r="Q58" s="469">
        <v>0</v>
      </c>
    </row>
    <row r="59" spans="1:17" s="1558" customFormat="1" ht="75" customHeight="1">
      <c r="A59" s="715"/>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2" t="s">
        <v>63</v>
      </c>
      <c r="G59" s="468"/>
      <c r="I59" s="470"/>
      <c r="J59" s="807"/>
      <c r="P59" s="471"/>
      <c r="Q59" s="469">
        <v>0</v>
      </c>
    </row>
    <row r="60" spans="1:17" s="1558" customFormat="1" ht="24" customHeight="1">
      <c r="A60" s="715"/>
      <c r="B60" s="349"/>
      <c r="C60" s="466"/>
      <c r="D60" s="467"/>
      <c r="E60" s="1088" t="s">
        <v>67</v>
      </c>
      <c r="F60" s="1133" t="s">
        <v>68</v>
      </c>
      <c r="G60" s="468"/>
      <c r="I60" s="470"/>
      <c r="J60" s="807"/>
      <c r="P60" s="471"/>
      <c r="Q60" s="469">
        <v>0</v>
      </c>
    </row>
    <row r="61" spans="1:17" s="1535" customFormat="1" ht="6" hidden="1" customHeight="1">
      <c r="A61" s="714"/>
      <c r="B61" s="362"/>
      <c r="C61" s="363"/>
      <c r="D61" s="364"/>
      <c r="E61" s="365"/>
      <c r="F61" s="980"/>
      <c r="G61" s="12"/>
      <c r="H61" s="345"/>
      <c r="I61" s="347"/>
      <c r="J61" s="805"/>
      <c r="Q61" s="366">
        <v>0</v>
      </c>
    </row>
    <row r="62" spans="1:17" s="1558" customFormat="1" ht="33.75" hidden="1" customHeight="1">
      <c r="A62" s="714"/>
      <c r="B62" s="37"/>
      <c r="C62" s="344"/>
      <c r="D62" s="346"/>
      <c r="E62" s="1088" t="s">
        <v>69</v>
      </c>
      <c r="F62" s="1593"/>
      <c r="G62" s="12"/>
      <c r="H62" s="703" t="s">
        <v>23</v>
      </c>
      <c r="I62" s="347"/>
      <c r="J62" s="805"/>
      <c r="Q62" s="345">
        <v>0</v>
      </c>
    </row>
    <row r="63" spans="1:17" s="1535" customFormat="1" ht="6.4" customHeight="1">
      <c r="A63" s="714"/>
      <c r="B63" s="169"/>
      <c r="C63" s="170"/>
      <c r="D63" s="176"/>
      <c r="E63" s="174"/>
      <c r="F63" s="177"/>
      <c r="G63" s="16"/>
      <c r="H63" s="345"/>
      <c r="I63" s="347"/>
      <c r="J63" s="803"/>
      <c r="Q63" s="173">
        <v>6</v>
      </c>
    </row>
    <row r="64" spans="1:17" ht="21" customHeight="1">
      <c r="B64" s="38"/>
      <c r="D64" s="21"/>
      <c r="E64" s="327" t="s">
        <v>70</v>
      </c>
      <c r="F64" s="153" t="s">
        <v>71</v>
      </c>
      <c r="G64" s="16"/>
      <c r="Q64" s="13">
        <v>20</v>
      </c>
    </row>
    <row r="65" spans="1:17" ht="21" customHeight="1">
      <c r="B65" s="38"/>
      <c r="D65" s="21"/>
      <c r="E65" s="327" t="s">
        <v>72</v>
      </c>
      <c r="F65" s="153" t="s">
        <v>73</v>
      </c>
      <c r="G65" s="16"/>
      <c r="Q65" s="13">
        <v>20</v>
      </c>
    </row>
    <row r="66" spans="1:17" ht="36.75" customHeight="1">
      <c r="D66" s="14"/>
      <c r="E66" s="329" t="s">
        <v>74</v>
      </c>
      <c r="F66" s="981"/>
      <c r="G66" s="12"/>
      <c r="Q66" s="13">
        <v>35</v>
      </c>
    </row>
    <row r="67" spans="1:17" ht="21" customHeight="1">
      <c r="D67" s="346"/>
      <c r="E67" s="327" t="s">
        <v>75</v>
      </c>
      <c r="F67" s="208" t="s">
        <v>76</v>
      </c>
      <c r="G67" s="16"/>
      <c r="Q67" s="13">
        <v>20</v>
      </c>
    </row>
    <row r="68" spans="1:17" ht="21" customHeight="1">
      <c r="B68" s="38"/>
      <c r="D68" s="21"/>
      <c r="E68" s="327" t="s">
        <v>77</v>
      </c>
      <c r="F68" s="208" t="s">
        <v>78</v>
      </c>
      <c r="G68" s="16"/>
      <c r="Q68" s="13">
        <v>20</v>
      </c>
    </row>
    <row r="69" spans="1:17" ht="21" customHeight="1">
      <c r="B69" s="38"/>
      <c r="D69" s="21"/>
      <c r="E69" s="327" t="s">
        <v>79</v>
      </c>
      <c r="F69" s="208" t="s">
        <v>80</v>
      </c>
      <c r="G69" s="16"/>
      <c r="Q69" s="13">
        <v>20</v>
      </c>
    </row>
    <row r="70" spans="1:17" ht="21" customHeight="1">
      <c r="D70" s="346"/>
      <c r="E70" s="327" t="s">
        <v>81</v>
      </c>
      <c r="F70" s="208" t="s">
        <v>82</v>
      </c>
      <c r="G70" s="12"/>
      <c r="Q70" s="13">
        <v>20</v>
      </c>
    </row>
    <row r="71" spans="1:17" ht="21" customHeight="1">
      <c r="D71" s="12"/>
      <c r="F71" s="71"/>
      <c r="G71" s="16"/>
      <c r="Q71" s="13">
        <v>20</v>
      </c>
    </row>
    <row r="72" spans="1:17" ht="21" customHeight="1">
      <c r="B72" s="38"/>
      <c r="D72" s="21"/>
      <c r="E72" s="20"/>
      <c r="F72" s="960"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45" customHeight="1">
      <c r="Q76" s="13">
        <v>11</v>
      </c>
    </row>
    <row r="77" spans="1:17" ht="11.45" customHeight="1">
      <c r="Q77" s="13">
        <v>11</v>
      </c>
    </row>
    <row r="78" spans="1:17" ht="11.45" customHeight="1">
      <c r="E78" s="326"/>
      <c r="F78" s="326"/>
      <c r="G78" s="326"/>
      <c r="H78" s="326"/>
      <c r="I78" s="326"/>
      <c r="Q78" s="13">
        <v>11</v>
      </c>
    </row>
    <row r="79" spans="1:17" ht="11.25" hidden="1" customHeight="1">
      <c r="A79" s="713" t="s">
        <v>83</v>
      </c>
      <c r="B79" s="37">
        <v>0</v>
      </c>
      <c r="C79" s="11">
        <v>3</v>
      </c>
      <c r="D79" s="13">
        <v>1</v>
      </c>
      <c r="E79" s="13">
        <v>55</v>
      </c>
      <c r="F79" s="13">
        <v>54</v>
      </c>
      <c r="G79" s="701">
        <v>1</v>
      </c>
      <c r="H79" s="345">
        <v>0</v>
      </c>
      <c r="I79" s="347">
        <v>59</v>
      </c>
      <c r="J79" s="805">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4">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type="list" allowBlank="1" showInputMessage="1" showErrorMessage="1" errorTitle="Ошибка" error="Выберите значение из списка" prompt="Выберите значение из списка" sqref="F16">
      <formula1>kind_of_type_price</formula1>
    </dataValidation>
  </dataValidations>
  <hyperlinks>
    <hyperlink ref="H11" location="Титульный!H9" tooltip="Помощь по работе с полями отчётной формы" display="Как заполнить?"/>
    <hyperlink ref="H16"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2" style="1289" hidden="1" customWidth="1"/>
    <col min="10" max="10" width="9.85546875" style="1289" hidden="1" customWidth="1"/>
    <col min="11" max="11" width="11.42578125" style="1289" hidden="1" customWidth="1"/>
    <col min="12" max="12" width="19.140625" style="2043" hidden="1" customWidth="1"/>
    <col min="13" max="14" width="12.28515625" style="1696" hidden="1" customWidth="1"/>
    <col min="15" max="15" width="23.42578125" style="1696" hidden="1" customWidth="1"/>
    <col min="16" max="16" width="3" style="1696" customWidth="1"/>
    <col min="17" max="17" width="3" style="1294" customWidth="1"/>
    <col min="18" max="18" width="3" style="281" customWidth="1"/>
    <col min="19" max="19" width="12" style="2033" customWidth="1"/>
    <col min="20" max="20" width="31" style="1558" customWidth="1"/>
    <col min="21" max="21" width="0.140625" style="1558" customWidth="1"/>
    <col min="22" max="23" width="21.7109375" style="1558" hidden="1" customWidth="1"/>
    <col min="24" max="24" width="11.7109375" style="1558" hidden="1" customWidth="1"/>
    <col min="25" max="25" width="3.7109375" style="1558" hidden="1" customWidth="1"/>
    <col min="26" max="26" width="11.7109375" style="1558" hidden="1" customWidth="1"/>
    <col min="27" max="27" width="8.5703125" style="1558" hidden="1" customWidth="1"/>
    <col min="28" max="28" width="5.42578125" style="1558" customWidth="1"/>
    <col min="29" max="30" width="3" style="1558" customWidth="1"/>
    <col min="31" max="31" width="24" style="1558" customWidth="1"/>
    <col min="32" max="32" width="3.7109375" style="1558" customWidth="1"/>
    <col min="33" max="34" width="3" style="1558" customWidth="1"/>
    <col min="35" max="35" width="24" style="1558" customWidth="1"/>
    <col min="36" max="36" width="3.7109375" style="1558" customWidth="1"/>
    <col min="37" max="38" width="3" style="1558" customWidth="1"/>
    <col min="39" max="39" width="18" style="1558" customWidth="1"/>
    <col min="40" max="41" width="21" style="1558" customWidth="1"/>
    <col min="42" max="42" width="11" style="1558" customWidth="1"/>
    <col min="43" max="43" width="3.7109375" style="1558" customWidth="1"/>
    <col min="44" max="44" width="11" style="1558" customWidth="1"/>
    <col min="45" max="45" width="8.5703125" style="1558" hidden="1" customWidth="1"/>
    <col min="46" max="46" width="4" style="1558" customWidth="1"/>
    <col min="47" max="47" width="115" style="1558" customWidth="1"/>
    <col min="48" max="52" width="10" style="1565" customWidth="1"/>
    <col min="53" max="53" width="10.5703125" style="1558" hidden="1"/>
  </cols>
  <sheetData>
    <row r="1" spans="1:53" ht="22.5" hidden="1" customHeight="1">
      <c r="W1" s="264"/>
      <c r="X1" s="264"/>
      <c r="AO1" s="264"/>
      <c r="AP1" s="264"/>
      <c r="BA1" s="1078" t="s">
        <v>14</v>
      </c>
    </row>
    <row r="2" spans="1:53" ht="21" hidden="1" customHeight="1">
      <c r="A2" s="1286"/>
      <c r="B2" s="1286"/>
      <c r="C2" s="1286"/>
      <c r="D2" s="1286"/>
      <c r="E2" s="2506">
        <v>1</v>
      </c>
      <c r="F2" s="1286"/>
      <c r="G2" s="1286"/>
      <c r="H2" s="1286"/>
      <c r="I2" s="1286"/>
      <c r="J2" s="1286"/>
      <c r="K2" s="1286"/>
      <c r="L2" s="1287"/>
      <c r="M2" s="1288"/>
      <c r="N2" s="1288"/>
      <c r="O2" s="1288"/>
      <c r="P2" s="1332"/>
      <c r="Q2" s="802"/>
      <c r="R2" s="291"/>
      <c r="S2" s="1259" t="e">
        <f>INDEX(PT_DIFFERENTIATION_NUM_NTAR,MATCH(A2,PT_DIFFERENTIATION_NTAR_ID,0))</f>
        <v>#N/A</v>
      </c>
      <c r="T2" s="235" t="s">
        <v>144</v>
      </c>
      <c r="U2" s="237"/>
      <c r="V2" s="2493"/>
      <c r="W2" s="2493"/>
      <c r="X2" s="2493"/>
      <c r="Y2" s="2493"/>
      <c r="Z2" s="2493"/>
      <c r="AA2" s="2494"/>
      <c r="AB2" s="2492" t="e">
        <f>INDEX(PT_DIFFERENTIATION_NTAR,MATCH(A2,PT_DIFFERENTIATION_NTAR_ID,0))</f>
        <v>#N/A</v>
      </c>
      <c r="AC2" s="2493"/>
      <c r="AD2" s="2493"/>
      <c r="AE2" s="2493"/>
      <c r="AF2" s="2493"/>
      <c r="AG2" s="2493"/>
      <c r="AH2" s="2493"/>
      <c r="AI2" s="2493"/>
      <c r="AJ2" s="2493"/>
      <c r="AK2" s="2493"/>
      <c r="AL2" s="2493"/>
      <c r="AM2" s="2493"/>
      <c r="AN2" s="2493"/>
      <c r="AO2" s="2493"/>
      <c r="AP2" s="2493"/>
      <c r="AQ2" s="2493"/>
      <c r="AR2" s="2493"/>
      <c r="AS2" s="2493"/>
      <c r="AT2" s="2494"/>
      <c r="AU2" s="1181" t="s">
        <v>415</v>
      </c>
      <c r="AW2" s="436"/>
      <c r="AX2" s="436" t="str">
        <f t="shared" ref="AX2:AX8" si="0">IF(T2="","",T2)</f>
        <v>Наименование тарифа</v>
      </c>
      <c r="AY2" s="436"/>
      <c r="AZ2" s="436"/>
      <c r="BA2" s="1078">
        <v>0</v>
      </c>
    </row>
    <row r="3" spans="1:53" ht="21" hidden="1" customHeight="1">
      <c r="A3" s="1286"/>
      <c r="B3" s="1286"/>
      <c r="C3" s="1286"/>
      <c r="D3" s="1286"/>
      <c r="E3" s="2507"/>
      <c r="F3" s="2506">
        <v>1</v>
      </c>
      <c r="G3" s="1286"/>
      <c r="H3" s="1286"/>
      <c r="I3" s="1286"/>
      <c r="J3" s="1286"/>
      <c r="K3" s="1286"/>
      <c r="L3" s="1287"/>
      <c r="M3" s="1288"/>
      <c r="N3" s="1288"/>
      <c r="O3" s="1288"/>
      <c r="P3" s="1333"/>
      <c r="Q3" s="1334"/>
      <c r="R3" s="289"/>
      <c r="S3" s="1259" t="e">
        <f>INDEX(PT_DIFFERENTIATION_NUM_TER,MATCH(B3,PT_DIFFERENTIATION_TER_ID,0))</f>
        <v>#N/A</v>
      </c>
      <c r="T3" s="245" t="s">
        <v>416</v>
      </c>
      <c r="U3" s="237"/>
      <c r="V3" s="2493"/>
      <c r="W3" s="2493"/>
      <c r="X3" s="2493"/>
      <c r="Y3" s="2493"/>
      <c r="Z3" s="2493"/>
      <c r="AA3" s="2494"/>
      <c r="AB3" s="2492" t="e">
        <f>INDEX(PT_DIFFERENTIATION_TER,MATCH(B3,PT_DIFFERENTIATION_TER_ID,0))</f>
        <v>#N/A</v>
      </c>
      <c r="AC3" s="2493"/>
      <c r="AD3" s="2493"/>
      <c r="AE3" s="2493"/>
      <c r="AF3" s="2493"/>
      <c r="AG3" s="2493"/>
      <c r="AH3" s="2493"/>
      <c r="AI3" s="2493"/>
      <c r="AJ3" s="2493"/>
      <c r="AK3" s="2493"/>
      <c r="AL3" s="2493"/>
      <c r="AM3" s="2493"/>
      <c r="AN3" s="2493"/>
      <c r="AO3" s="2493"/>
      <c r="AP3" s="2493"/>
      <c r="AQ3" s="2493"/>
      <c r="AR3" s="2493"/>
      <c r="AS3" s="2493"/>
      <c r="AT3" s="2494"/>
      <c r="AU3" s="1181" t="s">
        <v>417</v>
      </c>
      <c r="AW3" s="436"/>
      <c r="AX3" s="436" t="str">
        <f t="shared" si="0"/>
        <v>Территория действия тарифа</v>
      </c>
      <c r="AY3" s="436"/>
      <c r="AZ3" s="436"/>
      <c r="BA3" s="1078">
        <v>0</v>
      </c>
    </row>
    <row r="4" spans="1:53" ht="22.5" hidden="1" customHeight="1">
      <c r="A4" s="1286"/>
      <c r="B4" s="1286"/>
      <c r="C4" s="1286"/>
      <c r="D4" s="1286"/>
      <c r="E4" s="2507"/>
      <c r="F4" s="2507"/>
      <c r="G4" s="2506">
        <v>1</v>
      </c>
      <c r="H4" s="1286"/>
      <c r="I4" s="1286"/>
      <c r="J4" s="1286"/>
      <c r="K4" s="1286"/>
      <c r="L4" s="1287"/>
      <c r="M4" s="1288"/>
      <c r="N4" s="1288"/>
      <c r="O4" s="1288"/>
      <c r="P4" s="1335"/>
      <c r="Q4" s="1334"/>
      <c r="R4" s="289"/>
      <c r="S4" s="1259" t="e">
        <f>INDEX(PT_DIFFERENTIATION_NUM_CS,MATCH(C4,PT_DIFFERENTIATION_CS_ID,0))</f>
        <v>#N/A</v>
      </c>
      <c r="T4" s="246" t="s">
        <v>418</v>
      </c>
      <c r="U4" s="237"/>
      <c r="V4" s="2493"/>
      <c r="W4" s="2493"/>
      <c r="X4" s="2493"/>
      <c r="Y4" s="2493"/>
      <c r="Z4" s="2493"/>
      <c r="AA4" s="2494"/>
      <c r="AB4" s="2492" t="e">
        <f>INDEX(PT_DIFFERENTIATION_CS,MATCH(C4,PT_DIFFERENTIATION_CS_ID,0))</f>
        <v>#N/A</v>
      </c>
      <c r="AC4" s="2493"/>
      <c r="AD4" s="2493"/>
      <c r="AE4" s="2493"/>
      <c r="AF4" s="2493"/>
      <c r="AG4" s="2493"/>
      <c r="AH4" s="2493"/>
      <c r="AI4" s="2493"/>
      <c r="AJ4" s="2493"/>
      <c r="AK4" s="2493"/>
      <c r="AL4" s="2493"/>
      <c r="AM4" s="2493"/>
      <c r="AN4" s="2493"/>
      <c r="AO4" s="2493"/>
      <c r="AP4" s="2493"/>
      <c r="AQ4" s="2493"/>
      <c r="AR4" s="2493"/>
      <c r="AS4" s="2493"/>
      <c r="AT4" s="2494"/>
      <c r="AU4" s="1181" t="s">
        <v>419</v>
      </c>
      <c r="AW4" s="436"/>
      <c r="AX4" s="436" t="str">
        <f t="shared" si="0"/>
        <v xml:space="preserve">Наименование системы теплоснабжения </v>
      </c>
      <c r="AY4" s="436"/>
      <c r="AZ4" s="436"/>
      <c r="BA4" s="1078">
        <v>0</v>
      </c>
    </row>
    <row r="5" spans="1:53" ht="21" hidden="1" customHeight="1">
      <c r="A5" s="1286"/>
      <c r="B5" s="1286"/>
      <c r="C5" s="1286"/>
      <c r="D5" s="1286"/>
      <c r="E5" s="2507"/>
      <c r="F5" s="2507"/>
      <c r="G5" s="2507"/>
      <c r="H5" s="2506">
        <v>1</v>
      </c>
      <c r="I5" s="1286"/>
      <c r="J5" s="1286"/>
      <c r="K5" s="1286"/>
      <c r="L5" s="1287"/>
      <c r="M5" s="1288"/>
      <c r="N5" s="1288"/>
      <c r="O5" s="1288"/>
      <c r="P5" s="1335"/>
      <c r="Q5" s="1334"/>
      <c r="R5" s="289"/>
      <c r="S5" s="1259" t="e">
        <f>INDEX(PT_DIFFERENTIATION_NUM_IST_TE,MATCH(D5,PT_DIFFERENTIATION_IST_TE_ID,0))</f>
        <v>#N/A</v>
      </c>
      <c r="T5" s="247" t="s">
        <v>420</v>
      </c>
      <c r="U5" s="237"/>
      <c r="V5" s="2493"/>
      <c r="W5" s="2493"/>
      <c r="X5" s="2493"/>
      <c r="Y5" s="2493"/>
      <c r="Z5" s="2493"/>
      <c r="AA5" s="2494"/>
      <c r="AB5" s="2492" t="e">
        <f>INDEX(PT_DIFFERENTIATION_IST_TE,MATCH(D5,PT_DIFFERENTIATION_IST_TE_ID,0))</f>
        <v>#N/A</v>
      </c>
      <c r="AC5" s="2493"/>
      <c r="AD5" s="2493"/>
      <c r="AE5" s="2493"/>
      <c r="AF5" s="2493"/>
      <c r="AG5" s="2493"/>
      <c r="AH5" s="2493"/>
      <c r="AI5" s="2493"/>
      <c r="AJ5" s="2493"/>
      <c r="AK5" s="2493"/>
      <c r="AL5" s="2493"/>
      <c r="AM5" s="2493"/>
      <c r="AN5" s="2493"/>
      <c r="AO5" s="2493"/>
      <c r="AP5" s="2493"/>
      <c r="AQ5" s="2493"/>
      <c r="AR5" s="2493"/>
      <c r="AS5" s="2493"/>
      <c r="AT5" s="2494"/>
      <c r="AU5" s="1181" t="s">
        <v>421</v>
      </c>
      <c r="AW5" s="436"/>
      <c r="AX5" s="436" t="str">
        <f t="shared" si="0"/>
        <v xml:space="preserve">Источник тепловой энергии  </v>
      </c>
      <c r="AY5" s="436"/>
      <c r="AZ5" s="436"/>
      <c r="BA5" s="1078">
        <v>0</v>
      </c>
    </row>
    <row r="6" spans="1:53" s="1565" customFormat="1" ht="0.75" hidden="1" customHeight="1">
      <c r="A6" s="1266"/>
      <c r="B6" s="1266"/>
      <c r="C6" s="1266"/>
      <c r="D6" s="1266"/>
      <c r="E6" s="2507"/>
      <c r="F6" s="2507"/>
      <c r="G6" s="2507"/>
      <c r="H6" s="2507"/>
      <c r="I6" s="2504" t="e">
        <f>S5&amp;".1"</f>
        <v>#N/A</v>
      </c>
      <c r="J6" s="1266"/>
      <c r="K6" s="1266"/>
      <c r="L6" s="1269" t="s">
        <v>422</v>
      </c>
      <c r="M6" s="446"/>
      <c r="N6" s="446"/>
      <c r="O6" s="446"/>
      <c r="P6" s="2505">
        <v>1</v>
      </c>
      <c r="Q6" s="1254"/>
      <c r="R6" s="292"/>
      <c r="S6" s="969"/>
      <c r="T6" s="1306"/>
      <c r="U6" s="1307"/>
      <c r="V6" s="2536"/>
      <c r="W6" s="2536"/>
      <c r="X6" s="2536"/>
      <c r="Y6" s="2536"/>
      <c r="Z6" s="2536"/>
      <c r="AA6" s="2537"/>
      <c r="AB6" s="2535"/>
      <c r="AC6" s="2536"/>
      <c r="AD6" s="2536"/>
      <c r="AE6" s="2536"/>
      <c r="AF6" s="2536"/>
      <c r="AG6" s="2536"/>
      <c r="AH6" s="2536"/>
      <c r="AI6" s="2536"/>
      <c r="AJ6" s="2536"/>
      <c r="AK6" s="2536"/>
      <c r="AL6" s="2536"/>
      <c r="AM6" s="2536"/>
      <c r="AN6" s="2536"/>
      <c r="AO6" s="2536"/>
      <c r="AP6" s="2536"/>
      <c r="AQ6" s="2536"/>
      <c r="AR6" s="2536"/>
      <c r="AS6" s="2536"/>
      <c r="AT6" s="2537"/>
      <c r="AU6" s="1308"/>
      <c r="AW6" s="436"/>
      <c r="AX6" s="436" t="str">
        <f t="shared" si="0"/>
        <v/>
      </c>
      <c r="AY6" s="436"/>
      <c r="AZ6" s="436"/>
      <c r="BA6" s="447">
        <v>0</v>
      </c>
    </row>
    <row r="7" spans="1:53" s="1565" customFormat="1" ht="0.75" hidden="1" customHeight="1">
      <c r="A7" s="1266"/>
      <c r="B7" s="1266"/>
      <c r="C7" s="1266"/>
      <c r="D7" s="1266"/>
      <c r="E7" s="2507"/>
      <c r="F7" s="2507"/>
      <c r="G7" s="2507"/>
      <c r="H7" s="2507"/>
      <c r="I7" s="2527"/>
      <c r="J7" s="2504" t="e">
        <f>S5&amp;".1"</f>
        <v>#N/A</v>
      </c>
      <c r="K7" s="1266"/>
      <c r="L7" s="1269"/>
      <c r="M7" s="446"/>
      <c r="N7" s="446"/>
      <c r="O7" s="446"/>
      <c r="P7" s="2505"/>
      <c r="Q7" s="2505">
        <v>1</v>
      </c>
      <c r="R7" s="293"/>
      <c r="S7" s="969"/>
      <c r="T7" s="1322"/>
      <c r="U7" s="1307"/>
      <c r="V7" s="2536"/>
      <c r="W7" s="2536"/>
      <c r="X7" s="2536"/>
      <c r="Y7" s="2536"/>
      <c r="Z7" s="2536"/>
      <c r="AA7" s="2537"/>
      <c r="AB7" s="2535"/>
      <c r="AC7" s="2536"/>
      <c r="AD7" s="2536"/>
      <c r="AE7" s="2536"/>
      <c r="AF7" s="2536"/>
      <c r="AG7" s="2536"/>
      <c r="AH7" s="2536"/>
      <c r="AI7" s="2536"/>
      <c r="AJ7" s="2536"/>
      <c r="AK7" s="2536"/>
      <c r="AL7" s="2536"/>
      <c r="AM7" s="2536"/>
      <c r="AN7" s="2536"/>
      <c r="AO7" s="2536"/>
      <c r="AP7" s="2536"/>
      <c r="AQ7" s="2536"/>
      <c r="AR7" s="2536"/>
      <c r="AS7" s="2536"/>
      <c r="AT7" s="2537"/>
      <c r="AU7" s="1308"/>
      <c r="AW7" s="436"/>
      <c r="AX7" s="436" t="str">
        <f t="shared" si="0"/>
        <v/>
      </c>
      <c r="AY7" s="436"/>
      <c r="AZ7" s="436"/>
      <c r="BA7" s="447">
        <v>0</v>
      </c>
    </row>
    <row r="8" spans="1:53" ht="21" hidden="1" customHeight="1">
      <c r="A8" s="1286"/>
      <c r="B8" s="1286"/>
      <c r="C8" s="1286"/>
      <c r="D8" s="1286"/>
      <c r="E8" s="2507"/>
      <c r="F8" s="2507"/>
      <c r="G8" s="2507"/>
      <c r="H8" s="2507"/>
      <c r="I8" s="2527"/>
      <c r="J8" s="2527"/>
      <c r="K8" s="2504" t="e">
        <f>S5&amp;".1"</f>
        <v>#N/A</v>
      </c>
      <c r="L8" s="1287"/>
      <c r="P8" s="2505"/>
      <c r="Q8" s="2505"/>
      <c r="R8" s="2570">
        <v>1</v>
      </c>
      <c r="S8" s="2564" t="e">
        <f>$K8</f>
        <v>#N/A</v>
      </c>
      <c r="T8" s="2567"/>
      <c r="U8" s="237"/>
      <c r="V8" s="686"/>
      <c r="W8" s="1180"/>
      <c r="X8" s="2509"/>
      <c r="Y8" s="2360" t="s">
        <v>63</v>
      </c>
      <c r="Z8" s="2509"/>
      <c r="AA8" s="2360" t="s">
        <v>63</v>
      </c>
      <c r="AB8" s="2360" t="s">
        <v>19</v>
      </c>
      <c r="AC8" s="2549"/>
      <c r="AD8" s="2462">
        <v>1</v>
      </c>
      <c r="AE8" s="2550"/>
      <c r="AF8" s="2360" t="s">
        <v>19</v>
      </c>
      <c r="AG8" s="2549"/>
      <c r="AH8" s="2462">
        <v>1</v>
      </c>
      <c r="AI8" s="2550"/>
      <c r="AJ8" s="2360" t="s">
        <v>19</v>
      </c>
      <c r="AK8" s="248"/>
      <c r="AL8" s="1260">
        <v>1</v>
      </c>
      <c r="AM8" s="1321"/>
      <c r="AN8" s="686"/>
      <c r="AO8" s="1180"/>
      <c r="AP8" s="1655"/>
      <c r="AQ8" s="1382" t="s">
        <v>63</v>
      </c>
      <c r="AR8" s="1655"/>
      <c r="AS8" s="1382" t="s">
        <v>63</v>
      </c>
      <c r="AT8" s="1271"/>
      <c r="AU8" s="2501" t="s">
        <v>479</v>
      </c>
      <c r="AV8" s="447" t="e">
        <f ca="1">STRCHECKDATE(V11:AT11)</f>
        <v>#NAME?</v>
      </c>
      <c r="AW8" s="436"/>
      <c r="AX8" s="436" t="str">
        <f t="shared" si="0"/>
        <v/>
      </c>
      <c r="AY8" s="436"/>
      <c r="AZ8" s="436"/>
      <c r="BA8" s="1078">
        <v>0</v>
      </c>
    </row>
    <row r="9" spans="1:53" ht="11.25" hidden="1" customHeight="1">
      <c r="A9" s="1286"/>
      <c r="B9" s="1286"/>
      <c r="C9" s="1286"/>
      <c r="D9" s="1286"/>
      <c r="E9" s="2507"/>
      <c r="F9" s="2507"/>
      <c r="G9" s="2507"/>
      <c r="H9" s="2507"/>
      <c r="I9" s="2527"/>
      <c r="J9" s="2527"/>
      <c r="K9" s="2504"/>
      <c r="L9" s="1287"/>
      <c r="P9" s="2505"/>
      <c r="Q9" s="2505"/>
      <c r="R9" s="2570"/>
      <c r="S9" s="2565"/>
      <c r="T9" s="2568"/>
      <c r="U9" s="237"/>
      <c r="V9" s="1316"/>
      <c r="W9" s="1320"/>
      <c r="X9" s="2509"/>
      <c r="Y9" s="2360"/>
      <c r="Z9" s="2509"/>
      <c r="AA9" s="2360"/>
      <c r="AB9" s="2360"/>
      <c r="AC9" s="2549"/>
      <c r="AD9" s="2462"/>
      <c r="AE9" s="2550"/>
      <c r="AF9" s="2360"/>
      <c r="AG9" s="2549"/>
      <c r="AH9" s="2462"/>
      <c r="AI9" s="2550"/>
      <c r="AJ9" s="2360"/>
      <c r="AK9" s="253"/>
      <c r="AL9" s="352"/>
      <c r="AM9" s="351" t="s">
        <v>480</v>
      </c>
      <c r="AN9" s="1316"/>
      <c r="AO9" s="1419"/>
      <c r="AP9" s="1316"/>
      <c r="AQ9" s="1316"/>
      <c r="AR9" s="1316"/>
      <c r="AS9" s="1316"/>
      <c r="AT9" s="1313"/>
      <c r="AU9" s="2502"/>
      <c r="AW9" s="436"/>
      <c r="AX9" s="436"/>
      <c r="AY9" s="436"/>
      <c r="AZ9" s="436"/>
      <c r="BA9" s="1078">
        <v>0</v>
      </c>
    </row>
    <row r="10" spans="1:53" ht="11.25" hidden="1" customHeight="1">
      <c r="A10" s="1286"/>
      <c r="B10" s="1286"/>
      <c r="C10" s="1286"/>
      <c r="D10" s="1286"/>
      <c r="E10" s="2507"/>
      <c r="F10" s="2507"/>
      <c r="G10" s="2507"/>
      <c r="H10" s="2507"/>
      <c r="I10" s="2527"/>
      <c r="J10" s="2527"/>
      <c r="K10" s="2504"/>
      <c r="L10" s="1287"/>
      <c r="P10" s="2505"/>
      <c r="Q10" s="2505"/>
      <c r="R10" s="2570"/>
      <c r="S10" s="2565"/>
      <c r="T10" s="2568"/>
      <c r="U10" s="237"/>
      <c r="V10" s="1316"/>
      <c r="W10" s="1320"/>
      <c r="X10" s="2509"/>
      <c r="Y10" s="2360"/>
      <c r="Z10" s="2509"/>
      <c r="AA10" s="2360"/>
      <c r="AB10" s="2360"/>
      <c r="AC10" s="2549"/>
      <c r="AD10" s="2462"/>
      <c r="AE10" s="2550"/>
      <c r="AF10" s="2360"/>
      <c r="AG10" s="231"/>
      <c r="AH10" s="351"/>
      <c r="AI10" s="351" t="s">
        <v>481</v>
      </c>
      <c r="AJ10" s="1316"/>
      <c r="AK10" s="1316"/>
      <c r="AL10" s="1316"/>
      <c r="AM10" s="1316"/>
      <c r="AN10" s="1316"/>
      <c r="AO10" s="1419"/>
      <c r="AP10" s="1316"/>
      <c r="AQ10" s="1316"/>
      <c r="AR10" s="1316"/>
      <c r="AS10" s="1316"/>
      <c r="AT10" s="1313"/>
      <c r="AU10" s="2502"/>
      <c r="AW10" s="436"/>
      <c r="AX10" s="436"/>
      <c r="AY10" s="436"/>
      <c r="AZ10" s="436"/>
      <c r="BA10" s="1078">
        <v>0</v>
      </c>
    </row>
    <row r="11" spans="1:53" ht="11.25" hidden="1" customHeight="1">
      <c r="A11" s="1286"/>
      <c r="B11" s="1286"/>
      <c r="C11" s="1286"/>
      <c r="D11" s="1286"/>
      <c r="E11" s="2507"/>
      <c r="F11" s="2507"/>
      <c r="G11" s="2507"/>
      <c r="H11" s="2507"/>
      <c r="I11" s="2527"/>
      <c r="J11" s="2527"/>
      <c r="K11" s="2504"/>
      <c r="L11" s="1287"/>
      <c r="P11" s="2505"/>
      <c r="Q11" s="2505"/>
      <c r="R11" s="2570"/>
      <c r="S11" s="2566"/>
      <c r="T11" s="2569"/>
      <c r="U11" s="237"/>
      <c r="V11" s="1316"/>
      <c r="W11" s="1319" t="str">
        <f>X8&amp;"-"&amp;Z8</f>
        <v>-</v>
      </c>
      <c r="X11" s="2510"/>
      <c r="Y11" s="2360"/>
      <c r="Z11" s="2510"/>
      <c r="AA11" s="2360"/>
      <c r="AB11" s="2360"/>
      <c r="AC11" s="249"/>
      <c r="AD11" s="251"/>
      <c r="AE11" s="351" t="s">
        <v>482</v>
      </c>
      <c r="AF11" s="1316"/>
      <c r="AG11" s="1316"/>
      <c r="AH11" s="1316"/>
      <c r="AI11" s="1316"/>
      <c r="AJ11" s="1316"/>
      <c r="AK11" s="1316"/>
      <c r="AL11" s="1316"/>
      <c r="AM11" s="1316"/>
      <c r="AN11" s="1316"/>
      <c r="AO11" s="1317" t="str">
        <f>AP8&amp;"-"&amp;AR8</f>
        <v>-</v>
      </c>
      <c r="AP11" s="1316"/>
      <c r="AQ11" s="1316"/>
      <c r="AR11" s="1316"/>
      <c r="AS11" s="1316"/>
      <c r="AT11" s="1272"/>
      <c r="AU11" s="2502"/>
      <c r="AW11" s="436"/>
      <c r="AX11" s="436" t="str">
        <f t="shared" ref="AX11:AX17" si="1">IF(T11="","",T11)</f>
        <v/>
      </c>
      <c r="AY11" s="436"/>
      <c r="AZ11" s="436"/>
      <c r="BA11" s="1078">
        <v>0</v>
      </c>
    </row>
    <row r="12" spans="1:53" ht="11.25" hidden="1" customHeight="1">
      <c r="A12" s="1286"/>
      <c r="B12" s="1286"/>
      <c r="C12" s="1286"/>
      <c r="D12" s="1286"/>
      <c r="E12" s="2507"/>
      <c r="F12" s="2507"/>
      <c r="G12" s="2507"/>
      <c r="H12" s="2507"/>
      <c r="I12" s="2527"/>
      <c r="J12" s="2504"/>
      <c r="K12" s="1286"/>
      <c r="L12" s="1287"/>
      <c r="P12" s="2505"/>
      <c r="Q12" s="2505"/>
      <c r="R12" s="292"/>
      <c r="S12" s="1201"/>
      <c r="T12" s="224" t="s">
        <v>483</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1"/>
      <c r="AU12" s="2503"/>
      <c r="AW12" s="436"/>
      <c r="AX12" s="436" t="str">
        <f t="shared" si="1"/>
        <v>Добавить строку</v>
      </c>
      <c r="AY12" s="436"/>
      <c r="AZ12" s="436"/>
      <c r="BA12" s="1078">
        <v>0</v>
      </c>
    </row>
    <row r="13" spans="1:53" s="1565" customFormat="1" ht="0.75" hidden="1" customHeight="1">
      <c r="A13" s="1266"/>
      <c r="B13" s="1266"/>
      <c r="C13" s="1266"/>
      <c r="D13" s="1266"/>
      <c r="E13" s="2507"/>
      <c r="F13" s="2507"/>
      <c r="G13" s="2507"/>
      <c r="H13" s="2507"/>
      <c r="I13" s="2504"/>
      <c r="J13" s="1266"/>
      <c r="K13" s="1266"/>
      <c r="L13" s="1269"/>
      <c r="M13" s="446"/>
      <c r="N13" s="446"/>
      <c r="O13" s="446"/>
      <c r="P13" s="2505"/>
      <c r="Q13" s="1254"/>
      <c r="R13" s="292"/>
      <c r="S13" s="1309"/>
      <c r="T13" s="1310"/>
      <c r="U13" s="1311"/>
      <c r="V13" s="1311"/>
      <c r="W13" s="1311"/>
      <c r="X13" s="1311"/>
      <c r="Y13" s="1311"/>
      <c r="Z13" s="1311"/>
      <c r="AA13" s="1311"/>
      <c r="AB13" s="1311"/>
      <c r="AC13" s="1311"/>
      <c r="AD13" s="1311"/>
      <c r="AE13" s="1311"/>
      <c r="AF13" s="1311"/>
      <c r="AG13" s="1311"/>
      <c r="AH13" s="1311"/>
      <c r="AI13" s="1311"/>
      <c r="AJ13" s="1311"/>
      <c r="AK13" s="1311"/>
      <c r="AL13" s="1311"/>
      <c r="AM13" s="1311"/>
      <c r="AN13" s="1311"/>
      <c r="AO13" s="1311"/>
      <c r="AP13" s="1311"/>
      <c r="AQ13" s="1311"/>
      <c r="AR13" s="1311"/>
      <c r="AS13" s="1311"/>
      <c r="AT13" s="1311"/>
      <c r="AU13" s="1312"/>
      <c r="AW13" s="436"/>
      <c r="AX13" s="436" t="str">
        <f t="shared" si="1"/>
        <v/>
      </c>
      <c r="AY13" s="436"/>
      <c r="AZ13" s="436"/>
      <c r="BA13" s="447">
        <v>0</v>
      </c>
    </row>
    <row r="14" spans="1:53" s="1565" customFormat="1" ht="0.75" hidden="1" customHeight="1">
      <c r="A14" s="1266"/>
      <c r="B14" s="1266"/>
      <c r="C14" s="1266"/>
      <c r="D14" s="1266"/>
      <c r="E14" s="2507"/>
      <c r="F14" s="2507"/>
      <c r="G14" s="2507"/>
      <c r="H14" s="2506"/>
      <c r="I14" s="1266"/>
      <c r="J14" s="1266"/>
      <c r="K14" s="1266"/>
      <c r="L14" s="1269"/>
      <c r="M14" s="1238"/>
      <c r="N14" s="1238"/>
      <c r="O14" s="454"/>
      <c r="P14" s="316"/>
      <c r="Q14" s="1267"/>
      <c r="R14" s="1324"/>
      <c r="S14" s="1309"/>
      <c r="T14" s="1310"/>
      <c r="U14" s="1311"/>
      <c r="V14" s="1311"/>
      <c r="W14" s="1311"/>
      <c r="X14" s="1311"/>
      <c r="Y14" s="1311"/>
      <c r="Z14" s="1311"/>
      <c r="AA14" s="1311"/>
      <c r="AB14" s="1311"/>
      <c r="AC14" s="1311"/>
      <c r="AD14" s="1311"/>
      <c r="AE14" s="1311"/>
      <c r="AF14" s="1311"/>
      <c r="AG14" s="1311"/>
      <c r="AH14" s="1311"/>
      <c r="AI14" s="1311"/>
      <c r="AJ14" s="1311"/>
      <c r="AK14" s="1311"/>
      <c r="AL14" s="1311"/>
      <c r="AM14" s="1311"/>
      <c r="AN14" s="1311"/>
      <c r="AO14" s="1311"/>
      <c r="AP14" s="1311"/>
      <c r="AQ14" s="1311"/>
      <c r="AR14" s="1311"/>
      <c r="AS14" s="1311"/>
      <c r="AT14" s="1311"/>
      <c r="AU14" s="1312"/>
      <c r="AW14" s="436"/>
      <c r="AX14" s="436" t="str">
        <f t="shared" si="1"/>
        <v/>
      </c>
      <c r="AY14" s="436"/>
      <c r="AZ14" s="436"/>
      <c r="BA14" s="447">
        <v>0</v>
      </c>
    </row>
    <row r="15" spans="1:53" s="1565" customFormat="1" ht="0.75" hidden="1" customHeight="1">
      <c r="A15" s="1266"/>
      <c r="B15" s="1266"/>
      <c r="C15" s="1266"/>
      <c r="D15" s="1237"/>
      <c r="E15" s="2507"/>
      <c r="F15" s="2507"/>
      <c r="G15" s="2506"/>
      <c r="H15" s="1237"/>
      <c r="I15" s="1237"/>
      <c r="J15" s="1237"/>
      <c r="K15" s="1237"/>
      <c r="L15" s="1262"/>
      <c r="M15" s="1238"/>
      <c r="N15" s="1238"/>
      <c r="P15" s="1239"/>
      <c r="Q15" s="1240"/>
      <c r="R15" s="1239"/>
      <c r="S15" s="1245"/>
      <c r="T15" s="1248" t="s">
        <v>433</v>
      </c>
      <c r="U15" s="1247"/>
      <c r="V15" s="1247"/>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R15" s="1247"/>
      <c r="AS15" s="1247"/>
      <c r="AT15" s="1247"/>
      <c r="AU15" s="1247"/>
      <c r="AW15" s="718"/>
      <c r="AX15" s="718" t="str">
        <f t="shared" si="1"/>
        <v>Добавить источник для дифференциации</v>
      </c>
      <c r="AY15" s="718"/>
      <c r="AZ15" s="718"/>
      <c r="BA15" s="454">
        <v>0</v>
      </c>
    </row>
    <row r="16" spans="1:53" s="1565" customFormat="1" ht="0.75" hidden="1" customHeight="1">
      <c r="A16" s="1266"/>
      <c r="B16" s="1266"/>
      <c r="C16" s="1237"/>
      <c r="D16" s="1237"/>
      <c r="E16" s="2507"/>
      <c r="F16" s="2506"/>
      <c r="G16" s="1237"/>
      <c r="H16" s="1237"/>
      <c r="I16" s="1237"/>
      <c r="J16" s="1237"/>
      <c r="K16" s="1237"/>
      <c r="L16" s="1262"/>
      <c r="M16" s="1244"/>
      <c r="N16" s="1244"/>
      <c r="P16" s="1239"/>
      <c r="Q16" s="1240"/>
      <c r="R16" s="1239"/>
      <c r="S16" s="1245"/>
      <c r="T16" s="1248" t="s">
        <v>434</v>
      </c>
      <c r="U16" s="1247"/>
      <c r="V16" s="1247"/>
      <c r="W16" s="1247"/>
      <c r="X16" s="1247"/>
      <c r="Y16" s="1247"/>
      <c r="Z16" s="1247"/>
      <c r="AA16" s="1247"/>
      <c r="AB16" s="1247"/>
      <c r="AC16" s="1247"/>
      <c r="AD16" s="1247"/>
      <c r="AE16" s="1247"/>
      <c r="AF16" s="1247"/>
      <c r="AG16" s="1247"/>
      <c r="AH16" s="1247"/>
      <c r="AI16" s="1247"/>
      <c r="AJ16" s="1247"/>
      <c r="AK16" s="1247"/>
      <c r="AL16" s="1247"/>
      <c r="AM16" s="1247"/>
      <c r="AN16" s="1247"/>
      <c r="AO16" s="1247"/>
      <c r="AP16" s="1247"/>
      <c r="AQ16" s="1247"/>
      <c r="AR16" s="1247"/>
      <c r="AS16" s="1247"/>
      <c r="AT16" s="1247"/>
      <c r="AU16" s="1247"/>
      <c r="AW16" s="718"/>
      <c r="AX16" s="718" t="str">
        <f t="shared" si="1"/>
        <v>Добавить централизованную систему для дифференциации</v>
      </c>
      <c r="AY16" s="718"/>
      <c r="AZ16" s="718"/>
      <c r="BA16" s="454">
        <v>0</v>
      </c>
    </row>
    <row r="17" spans="1:53" s="1565" customFormat="1" ht="0.75" hidden="1" customHeight="1">
      <c r="A17" s="1266"/>
      <c r="B17" s="1266"/>
      <c r="C17" s="1266"/>
      <c r="D17" s="1266"/>
      <c r="E17" s="2506"/>
      <c r="F17" s="1266"/>
      <c r="G17" s="1266"/>
      <c r="H17" s="1266"/>
      <c r="I17" s="1266"/>
      <c r="J17" s="1266"/>
      <c r="K17" s="1266"/>
      <c r="L17" s="1269"/>
      <c r="M17" s="1244"/>
      <c r="N17" s="1244"/>
      <c r="O17" s="454"/>
      <c r="P17" s="316"/>
      <c r="Q17" s="1267"/>
      <c r="R17" s="316"/>
      <c r="S17" s="1245"/>
      <c r="T17" s="1248" t="s">
        <v>435</v>
      </c>
      <c r="U17" s="1247"/>
      <c r="V17" s="1247"/>
      <c r="W17" s="1247"/>
      <c r="X17" s="1247"/>
      <c r="Y17" s="1247"/>
      <c r="Z17" s="1247"/>
      <c r="AA17" s="1247"/>
      <c r="AB17" s="1247"/>
      <c r="AC17" s="1247"/>
      <c r="AD17" s="1247"/>
      <c r="AE17" s="1247"/>
      <c r="AF17" s="1247"/>
      <c r="AG17" s="1247"/>
      <c r="AH17" s="1247"/>
      <c r="AI17" s="1247"/>
      <c r="AJ17" s="1247"/>
      <c r="AK17" s="1247"/>
      <c r="AL17" s="1247"/>
      <c r="AM17" s="1247"/>
      <c r="AN17" s="1247"/>
      <c r="AO17" s="1247"/>
      <c r="AP17" s="1247"/>
      <c r="AQ17" s="1247"/>
      <c r="AR17" s="1247"/>
      <c r="AS17" s="1247"/>
      <c r="AT17" s="1247"/>
      <c r="AU17" s="1247"/>
      <c r="AW17" s="436"/>
      <c r="AX17" s="436" t="str">
        <f t="shared" si="1"/>
        <v>Добавить территорию для дифференциации</v>
      </c>
      <c r="AY17" s="436"/>
      <c r="AZ17" s="436"/>
      <c r="BA17" s="447">
        <v>0</v>
      </c>
    </row>
    <row r="18" spans="1:53" ht="14.25" hidden="1" customHeight="1">
      <c r="AA18" s="264"/>
      <c r="AS18" s="264"/>
      <c r="BA18" s="1078">
        <v>0</v>
      </c>
    </row>
    <row r="19" spans="1:53" ht="14.25" hidden="1" customHeight="1">
      <c r="AB19" s="1247" t="s">
        <v>19</v>
      </c>
      <c r="AC19" s="1424"/>
      <c r="AD19" s="484">
        <v>1</v>
      </c>
      <c r="AE19" s="1425"/>
      <c r="AF19" s="1247" t="s">
        <v>19</v>
      </c>
      <c r="AG19" s="1424"/>
      <c r="AH19" s="484">
        <v>1</v>
      </c>
      <c r="AI19" s="1425"/>
      <c r="AJ19" s="1247" t="s">
        <v>19</v>
      </c>
      <c r="AK19" s="1426"/>
      <c r="AL19" s="484">
        <v>1</v>
      </c>
      <c r="AM19" s="1429"/>
      <c r="AN19" s="1326"/>
      <c r="AO19" s="1327"/>
      <c r="AP19" s="1657"/>
      <c r="AQ19" s="1383" t="s">
        <v>63</v>
      </c>
      <c r="AR19" s="1657"/>
      <c r="AS19" s="1383" t="s">
        <v>63</v>
      </c>
      <c r="BA19" s="1078">
        <v>0</v>
      </c>
    </row>
    <row r="20" spans="1:53" ht="14.25" hidden="1" customHeight="1">
      <c r="AV20" s="432"/>
      <c r="AW20" s="432"/>
      <c r="AX20" s="432"/>
      <c r="AY20" s="432"/>
      <c r="AZ20" s="432"/>
      <c r="BA20" s="1078">
        <v>0</v>
      </c>
    </row>
    <row r="21" spans="1:53" ht="14.25" hidden="1" customHeight="1">
      <c r="O21" s="1290" t="s">
        <v>436</v>
      </c>
      <c r="X21" s="1268"/>
      <c r="Z21" s="1268"/>
      <c r="AA21" s="264"/>
      <c r="AP21" s="1268"/>
      <c r="AR21" s="1268"/>
      <c r="AS21" s="264"/>
      <c r="AV21" s="432"/>
      <c r="AW21" s="432"/>
      <c r="AX21" s="432"/>
      <c r="AY21" s="432"/>
      <c r="AZ21" s="432"/>
      <c r="BA21" s="1078">
        <v>0</v>
      </c>
    </row>
    <row r="22" spans="1:53" ht="14.25" hidden="1" customHeight="1">
      <c r="AA22" s="264"/>
      <c r="AS22" s="264"/>
      <c r="AV22" s="432"/>
      <c r="AW22" s="432"/>
      <c r="AX22" s="432"/>
      <c r="AY22" s="432"/>
      <c r="AZ22" s="432"/>
      <c r="BA22" s="1078">
        <v>0</v>
      </c>
    </row>
    <row r="23" spans="1:53" s="1432" customFormat="1" ht="14.25" hidden="1" customHeight="1">
      <c r="M23" s="1431"/>
      <c r="N23" s="1431"/>
      <c r="O23" s="1432" t="s">
        <v>437</v>
      </c>
      <c r="P23" s="1431"/>
      <c r="Q23" s="1433"/>
      <c r="R23" s="1433"/>
      <c r="Y23" s="1430" t="s">
        <v>439</v>
      </c>
      <c r="AA23" s="1430" t="s">
        <v>440</v>
      </c>
      <c r="AB23" s="1430" t="s">
        <v>484</v>
      </c>
      <c r="AE23" s="1430" t="s">
        <v>485</v>
      </c>
      <c r="AF23" s="1430" t="s">
        <v>484</v>
      </c>
      <c r="AI23" s="1430" t="s">
        <v>486</v>
      </c>
      <c r="AJ23" s="1430" t="s">
        <v>484</v>
      </c>
      <c r="AM23" s="1430" t="s">
        <v>487</v>
      </c>
      <c r="AQ23" s="1430" t="s">
        <v>439</v>
      </c>
      <c r="AS23" s="1430" t="s">
        <v>440</v>
      </c>
      <c r="AV23" s="1434"/>
      <c r="AW23" s="1434"/>
      <c r="AX23" s="1434"/>
      <c r="AY23" s="1434"/>
      <c r="AZ23" s="1434"/>
      <c r="BA23" s="1430">
        <v>0</v>
      </c>
    </row>
    <row r="24" spans="1:53" ht="14.25" hidden="1" customHeight="1">
      <c r="O24" s="1287"/>
      <c r="AV24" s="432"/>
      <c r="AW24" s="432"/>
      <c r="AX24" s="432"/>
      <c r="AY24" s="432"/>
      <c r="AZ24" s="432"/>
      <c r="BA24" s="1078">
        <v>0</v>
      </c>
    </row>
    <row r="25" spans="1:53" ht="14.25" hidden="1" customHeight="1">
      <c r="O25" s="1287"/>
      <c r="AV25" s="432"/>
      <c r="AW25" s="432"/>
      <c r="AX25" s="432"/>
      <c r="AY25" s="432"/>
      <c r="AZ25" s="432"/>
      <c r="BA25" s="1078">
        <v>0</v>
      </c>
    </row>
    <row r="26" spans="1:53" ht="14.65" customHeight="1">
      <c r="Q26" s="228"/>
      <c r="R26" s="312"/>
      <c r="S26" s="1198"/>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78">
        <v>14</v>
      </c>
    </row>
    <row r="27" spans="1:53" ht="27.4" customHeight="1">
      <c r="Q27" s="228"/>
      <c r="R27" s="312"/>
      <c r="S27" s="249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490"/>
      <c r="U27" s="2490"/>
      <c r="V27" s="2490"/>
      <c r="W27" s="2490"/>
      <c r="X27" s="2490"/>
      <c r="Y27" s="2490"/>
      <c r="Z27" s="2490"/>
      <c r="AA27" s="2490"/>
      <c r="AB27" s="2490"/>
      <c r="AC27" s="2490"/>
      <c r="AD27" s="2490"/>
      <c r="AE27" s="2490"/>
      <c r="AF27" s="2490"/>
      <c r="AG27" s="2490"/>
      <c r="AH27" s="2490"/>
      <c r="AI27" s="2490"/>
      <c r="AJ27" s="2490"/>
      <c r="AK27" s="2490"/>
      <c r="AL27" s="2490"/>
      <c r="AM27" s="2490"/>
      <c r="AN27" s="2490"/>
      <c r="AO27" s="2490"/>
      <c r="AP27" s="2490"/>
      <c r="AQ27" s="2490"/>
      <c r="AR27" s="2490"/>
      <c r="AS27" s="1166"/>
      <c r="BA27" s="1078">
        <v>26</v>
      </c>
    </row>
    <row r="28" spans="1:53" ht="14.65" customHeight="1">
      <c r="Q28" s="228"/>
      <c r="R28" s="312"/>
      <c r="S28" s="2436" t="str">
        <f>IF(org=0,"Не определено",org)</f>
        <v>ПАО "ТГК-2"</v>
      </c>
      <c r="T28" s="2436"/>
      <c r="U28" s="2436"/>
      <c r="V28" s="2436"/>
      <c r="W28" s="2436"/>
      <c r="X28" s="2436"/>
      <c r="Y28" s="2436"/>
      <c r="Z28" s="2436"/>
      <c r="AA28" s="2436"/>
      <c r="AB28" s="2436"/>
      <c r="AC28" s="2436"/>
      <c r="AD28" s="2436"/>
      <c r="AE28" s="2436"/>
      <c r="AF28" s="2436"/>
      <c r="AG28" s="2436"/>
      <c r="AH28" s="2436"/>
      <c r="AI28" s="2436"/>
      <c r="AJ28" s="2436"/>
      <c r="AK28" s="2436"/>
      <c r="AL28" s="2436"/>
      <c r="AM28" s="2436"/>
      <c r="AN28" s="2436"/>
      <c r="AO28" s="2436"/>
      <c r="AP28" s="2436"/>
      <c r="AQ28" s="2436"/>
      <c r="AR28" s="2436"/>
      <c r="AS28" s="1166"/>
      <c r="BA28" s="1078">
        <v>14</v>
      </c>
    </row>
    <row r="29" spans="1:53" ht="14.25" hidden="1" customHeight="1">
      <c r="Q29" s="228"/>
      <c r="R29" s="312"/>
      <c r="S29" s="1198"/>
      <c r="T29" s="299"/>
      <c r="U29" s="299"/>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5"/>
      <c r="BA29" s="1078">
        <v>0</v>
      </c>
    </row>
    <row r="30" spans="1:53" s="1770" customFormat="1" ht="25.5" hidden="1" customHeight="1">
      <c r="A30" s="1291"/>
      <c r="B30" s="1291"/>
      <c r="C30" s="1291"/>
      <c r="D30" s="1291"/>
      <c r="E30" s="1291"/>
      <c r="F30" s="1291"/>
      <c r="G30" s="1291"/>
      <c r="H30" s="1291"/>
      <c r="I30" s="1291"/>
      <c r="J30" s="1291"/>
      <c r="K30" s="1291"/>
      <c r="L30" s="1292"/>
      <c r="M30" s="1291"/>
      <c r="N30" s="1291"/>
      <c r="O30" s="1291"/>
      <c r="P30" s="1291"/>
      <c r="Q30" s="1291"/>
      <c r="S30" s="249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0" s="2498"/>
      <c r="U30" s="1295"/>
      <c r="V30" s="2499" t="str">
        <f>IF(TITLE_NAME_OR_PR_CHANGE="",IF(TITLE_NAME_OR_PR="","",TITLE_NAME_OR_PR),TITLE_NAME_OR_PR_CHANGE)</f>
        <v/>
      </c>
      <c r="W30" s="2499"/>
      <c r="X30" s="2499"/>
      <c r="Y30" s="2499"/>
      <c r="Z30" s="2499"/>
      <c r="AA30" s="263"/>
      <c r="AB30" s="2499" t="str">
        <f>IF(TITLE_NAME_OR_PR_CHANGE="",IF(TITLE_NAME_OR_PR="","",TITLE_NAME_OR_PR),TITLE_NAME_OR_PR_CHANGE)</f>
        <v/>
      </c>
      <c r="AC30" s="2499"/>
      <c r="AD30" s="2499"/>
      <c r="AE30" s="2499"/>
      <c r="AF30" s="2499"/>
      <c r="AG30" s="2499"/>
      <c r="AH30" s="2499"/>
      <c r="AI30" s="2499"/>
      <c r="AJ30" s="2499"/>
      <c r="AK30" s="2499"/>
      <c r="AL30" s="2499"/>
      <c r="AM30" s="2499"/>
      <c r="AN30" s="2499"/>
      <c r="AO30" s="2499"/>
      <c r="AP30" s="2499"/>
      <c r="AQ30" s="2499"/>
      <c r="AR30" s="2499"/>
      <c r="AS30" s="263"/>
      <c r="AT30" s="263"/>
      <c r="AU30" s="217"/>
      <c r="AV30" s="304"/>
      <c r="AW30" s="304"/>
      <c r="AX30" s="304"/>
      <c r="AY30" s="304"/>
      <c r="AZ30" s="304"/>
      <c r="BA30" s="354">
        <v>0</v>
      </c>
    </row>
    <row r="31" spans="1:53" s="1770" customFormat="1" ht="18.75" hidden="1" customHeight="1">
      <c r="A31" s="1291"/>
      <c r="B31" s="1291"/>
      <c r="C31" s="1291"/>
      <c r="D31" s="1291"/>
      <c r="E31" s="1291"/>
      <c r="F31" s="1291"/>
      <c r="G31" s="1291"/>
      <c r="H31" s="1291"/>
      <c r="I31" s="1291"/>
      <c r="J31" s="1291"/>
      <c r="K31" s="1291"/>
      <c r="L31" s="1292"/>
      <c r="M31" s="1291"/>
      <c r="N31" s="1291"/>
      <c r="O31" s="1291"/>
      <c r="P31" s="1291"/>
      <c r="Q31" s="1291"/>
      <c r="S31" s="2498" t="str">
        <f>"Дата документа об "&amp;IF(TITLE_DATE_PR_CHANGE="","утверждении","изменении")&amp;" тарифов"</f>
        <v>Дата документа об утверждении тарифов</v>
      </c>
      <c r="T31" s="2498"/>
      <c r="U31" s="1295"/>
      <c r="V31" s="2508" t="str">
        <f>IF(TITLE_DATE_PR_CHANGE="",IF(TITLE_DATE_PR="","",TITLE_DATE_PR),TITLE_DATE_PR_CHANGE)</f>
        <v/>
      </c>
      <c r="W31" s="2508"/>
      <c r="X31" s="2508"/>
      <c r="Y31" s="2508"/>
      <c r="Z31" s="2508"/>
      <c r="AA31" s="263"/>
      <c r="AB31" s="2508" t="str">
        <f>IF(TITLE_DATE_PR_CHANGE="",IF(TITLE_DATE_PR="","",TITLE_DATE_PR),TITLE_DATE_PR_CHANGE)</f>
        <v/>
      </c>
      <c r="AC31" s="2508"/>
      <c r="AD31" s="2508"/>
      <c r="AE31" s="2508"/>
      <c r="AF31" s="2508"/>
      <c r="AG31" s="2508"/>
      <c r="AH31" s="2508"/>
      <c r="AI31" s="2508"/>
      <c r="AJ31" s="2508"/>
      <c r="AK31" s="2508"/>
      <c r="AL31" s="2508"/>
      <c r="AM31" s="2508"/>
      <c r="AN31" s="2508"/>
      <c r="AO31" s="2508"/>
      <c r="AP31" s="2508"/>
      <c r="AQ31" s="2508"/>
      <c r="AR31" s="2508"/>
      <c r="AS31" s="263"/>
      <c r="AT31" s="263"/>
      <c r="AU31" s="217"/>
      <c r="AV31" s="304"/>
      <c r="AW31" s="304"/>
      <c r="AX31" s="304"/>
      <c r="AY31" s="304"/>
      <c r="AZ31" s="304"/>
      <c r="BA31" s="354">
        <v>0</v>
      </c>
    </row>
    <row r="32" spans="1:53" s="1770" customFormat="1" ht="18.75" hidden="1" customHeight="1">
      <c r="A32" s="1291"/>
      <c r="B32" s="1291"/>
      <c r="C32" s="1291"/>
      <c r="D32" s="1291"/>
      <c r="E32" s="1291"/>
      <c r="F32" s="1291"/>
      <c r="G32" s="1291"/>
      <c r="H32" s="1291"/>
      <c r="I32" s="1291"/>
      <c r="J32" s="1291"/>
      <c r="K32" s="1291"/>
      <c r="L32" s="1292"/>
      <c r="M32" s="1291"/>
      <c r="N32" s="1291"/>
      <c r="O32" s="1291"/>
      <c r="P32" s="1291"/>
      <c r="Q32" s="1291"/>
      <c r="S32" s="2498" t="str">
        <f>"Номер документа об "&amp;IF(TITLE_DATE_PR_CHANGE="","утверждении","изменении")&amp;" тарифов"</f>
        <v>Номер документа об утверждении тарифов</v>
      </c>
      <c r="T32" s="2498"/>
      <c r="U32" s="1295"/>
      <c r="V32" s="2499" t="str">
        <f>IF(TITLE_NUMBER_PR_CHANGE="",IF(TITLE_NUMBER_PR="","",TITLE_NUMBER_PR),TITLE_NUMBER_PR_CHANGE)</f>
        <v/>
      </c>
      <c r="W32" s="2499"/>
      <c r="X32" s="2499"/>
      <c r="Y32" s="2499"/>
      <c r="Z32" s="2499"/>
      <c r="AA32" s="263"/>
      <c r="AB32" s="2499" t="str">
        <f>IF(TITLE_NUMBER_PR_CHANGE="",IF(TITLE_NUMBER_PR="","",TITLE_NUMBER_PR),TITLE_NUMBER_PR_CHANGE)</f>
        <v/>
      </c>
      <c r="AC32" s="2499"/>
      <c r="AD32" s="2499"/>
      <c r="AE32" s="2499"/>
      <c r="AF32" s="2499"/>
      <c r="AG32" s="2499"/>
      <c r="AH32" s="2499"/>
      <c r="AI32" s="2499"/>
      <c r="AJ32" s="2499"/>
      <c r="AK32" s="2499"/>
      <c r="AL32" s="2499"/>
      <c r="AM32" s="2499"/>
      <c r="AN32" s="2499"/>
      <c r="AO32" s="2499"/>
      <c r="AP32" s="2499"/>
      <c r="AQ32" s="2499"/>
      <c r="AR32" s="2499"/>
      <c r="AS32" s="263"/>
      <c r="AT32" s="263"/>
      <c r="AU32" s="217"/>
      <c r="AV32" s="304"/>
      <c r="AW32" s="304"/>
      <c r="AX32" s="304"/>
      <c r="AY32" s="304"/>
      <c r="AZ32" s="304"/>
      <c r="BA32" s="354">
        <v>0</v>
      </c>
    </row>
    <row r="33" spans="1:53" s="1770" customFormat="1" ht="18.75" hidden="1" customHeight="1">
      <c r="A33" s="1291"/>
      <c r="B33" s="1291"/>
      <c r="C33" s="1291"/>
      <c r="D33" s="1291"/>
      <c r="E33" s="1291"/>
      <c r="F33" s="1291"/>
      <c r="G33" s="1291"/>
      <c r="H33" s="1291"/>
      <c r="I33" s="1291"/>
      <c r="J33" s="1291"/>
      <c r="K33" s="1291"/>
      <c r="L33" s="1292"/>
      <c r="M33" s="1291"/>
      <c r="N33" s="1291"/>
      <c r="O33" s="1291"/>
      <c r="P33" s="1291"/>
      <c r="Q33" s="1291"/>
      <c r="S33" s="2498" t="s">
        <v>43</v>
      </c>
      <c r="T33" s="2498"/>
      <c r="U33" s="1295"/>
      <c r="V33" s="2499" t="str">
        <f>IF(TITLE_IST_PUB_CHANGE="",IF(TITLE_IST_PUB="","",TITLE_IST_PUB),TITLE_IST_PUB_CHANGE)</f>
        <v/>
      </c>
      <c r="W33" s="2499"/>
      <c r="X33" s="2499"/>
      <c r="Y33" s="2499"/>
      <c r="Z33" s="2499"/>
      <c r="AA33" s="263"/>
      <c r="AB33" s="2499" t="str">
        <f>IF(TITLE_IST_PUB_CHANGE="",IF(TITLE_IST_PUB="","",TITLE_IST_PUB),TITLE_IST_PUB_CHANGE)</f>
        <v/>
      </c>
      <c r="AC33" s="2499"/>
      <c r="AD33" s="2499"/>
      <c r="AE33" s="2499"/>
      <c r="AF33" s="2499"/>
      <c r="AG33" s="2499"/>
      <c r="AH33" s="2499"/>
      <c r="AI33" s="2499"/>
      <c r="AJ33" s="2499"/>
      <c r="AK33" s="2499"/>
      <c r="AL33" s="2499"/>
      <c r="AM33" s="2499"/>
      <c r="AN33" s="2499"/>
      <c r="AO33" s="2499"/>
      <c r="AP33" s="2499"/>
      <c r="AQ33" s="2499"/>
      <c r="AR33" s="2499"/>
      <c r="AS33" s="263"/>
      <c r="AT33" s="263"/>
      <c r="AU33" s="217"/>
      <c r="AV33" s="304"/>
      <c r="AW33" s="304"/>
      <c r="AX33" s="304"/>
      <c r="AY33" s="304"/>
      <c r="AZ33" s="304"/>
      <c r="BA33" s="354">
        <v>0</v>
      </c>
    </row>
    <row r="34" spans="1:53" ht="14.25" hidden="1" customHeight="1">
      <c r="Q34" s="228"/>
      <c r="R34" s="312"/>
      <c r="S34" s="1198"/>
      <c r="T34" s="393"/>
      <c r="U34" s="29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5"/>
      <c r="BA34" s="1078">
        <v>0</v>
      </c>
    </row>
    <row r="35" spans="1:53" s="1770" customFormat="1" ht="18.75" hidden="1" customHeight="1">
      <c r="A35" s="1291"/>
      <c r="B35" s="1291"/>
      <c r="C35" s="1291"/>
      <c r="D35" s="1291"/>
      <c r="E35" s="1291"/>
      <c r="F35" s="1291"/>
      <c r="G35" s="1291"/>
      <c r="H35" s="1291"/>
      <c r="I35" s="1291"/>
      <c r="J35" s="1291"/>
      <c r="K35" s="1291"/>
      <c r="L35" s="1292"/>
      <c r="M35" s="1291"/>
      <c r="N35" s="1291"/>
      <c r="O35" s="1291"/>
      <c r="P35" s="1291"/>
      <c r="Q35" s="1291"/>
      <c r="S35" s="2498" t="str">
        <f>"Дата подачи заявления об "&amp;IF(TITLE_DATE_PR_CHANGE="","утверждении","изменении")&amp;" тарифов"</f>
        <v>Дата подачи заявления об утверждении тарифов</v>
      </c>
      <c r="T35" s="2498"/>
      <c r="U35" s="1295"/>
      <c r="V35" s="2508" t="str">
        <f>IF(TITLE_DATE_PR_CHANGE="",IF(TITLE_DATE_PR="","",TITLE_DATE_PR),TITLE_DATE_PR_CHANGE)</f>
        <v/>
      </c>
      <c r="W35" s="2508"/>
      <c r="X35" s="2508"/>
      <c r="Y35" s="2508"/>
      <c r="Z35" s="2508"/>
      <c r="AA35" s="263"/>
      <c r="AB35" s="2508" t="str">
        <f>IF(TITLE_DATE_PR_CHANGE="",IF(TITLE_DATE_PR="","",TITLE_DATE_PR),TITLE_DATE_PR_CHANGE)</f>
        <v/>
      </c>
      <c r="AC35" s="2508"/>
      <c r="AD35" s="2508"/>
      <c r="AE35" s="2508"/>
      <c r="AF35" s="2508"/>
      <c r="AG35" s="2508"/>
      <c r="AH35" s="2508"/>
      <c r="AI35" s="2508"/>
      <c r="AJ35" s="2508"/>
      <c r="AK35" s="2508"/>
      <c r="AL35" s="2508"/>
      <c r="AM35" s="2508"/>
      <c r="AN35" s="2508"/>
      <c r="AO35" s="2508"/>
      <c r="AP35" s="2508"/>
      <c r="AQ35" s="2508"/>
      <c r="AR35" s="2508"/>
      <c r="AS35" s="263"/>
      <c r="AT35" s="263"/>
      <c r="AU35" s="217"/>
      <c r="AV35" s="304"/>
      <c r="AW35" s="304"/>
      <c r="AX35" s="304"/>
      <c r="AY35" s="304"/>
      <c r="AZ35" s="304"/>
      <c r="BA35" s="354">
        <v>0</v>
      </c>
    </row>
    <row r="36" spans="1:53" s="1770" customFormat="1" ht="18" hidden="1" customHeight="1">
      <c r="A36" s="1291"/>
      <c r="B36" s="1291"/>
      <c r="C36" s="1291"/>
      <c r="D36" s="1291"/>
      <c r="E36" s="1291"/>
      <c r="F36" s="1291"/>
      <c r="G36" s="1291"/>
      <c r="H36" s="1291"/>
      <c r="I36" s="1291"/>
      <c r="J36" s="1291"/>
      <c r="K36" s="1291"/>
      <c r="L36" s="1292"/>
      <c r="M36" s="1291"/>
      <c r="N36" s="1291"/>
      <c r="O36" s="1291"/>
      <c r="P36" s="1291"/>
      <c r="Q36" s="1291"/>
      <c r="S36" s="2498" t="str">
        <f>"Номер подачи заявления об "&amp;IF(TITLE_DATE_PR_CHANGE="","утверждении","изменении")&amp;" тарифов"</f>
        <v>Номер подачи заявления об утверждении тарифов</v>
      </c>
      <c r="T36" s="2498"/>
      <c r="U36" s="1295"/>
      <c r="V36" s="2499" t="str">
        <f>IF(TITLE_NUMBER_PR_CHANGE="",IF(TITLE_NUMBER_PR="","",TITLE_NUMBER_PR),TITLE_NUMBER_PR_CHANGE)</f>
        <v/>
      </c>
      <c r="W36" s="2499"/>
      <c r="X36" s="2499"/>
      <c r="Y36" s="2499"/>
      <c r="Z36" s="2499"/>
      <c r="AA36" s="263"/>
      <c r="AB36" s="2499" t="str">
        <f>IF(TITLE_NUMBER_PR_CHANGE="",IF(TITLE_NUMBER_PR="","",TITLE_NUMBER_PR),TITLE_NUMBER_PR_CHANGE)</f>
        <v/>
      </c>
      <c r="AC36" s="2499"/>
      <c r="AD36" s="2499"/>
      <c r="AE36" s="2499"/>
      <c r="AF36" s="2499"/>
      <c r="AG36" s="2499"/>
      <c r="AH36" s="2499"/>
      <c r="AI36" s="2499"/>
      <c r="AJ36" s="2499"/>
      <c r="AK36" s="2499"/>
      <c r="AL36" s="2499"/>
      <c r="AM36" s="2499"/>
      <c r="AN36" s="2499"/>
      <c r="AO36" s="2499"/>
      <c r="AP36" s="2499"/>
      <c r="AQ36" s="2499"/>
      <c r="AR36" s="2499"/>
      <c r="AS36" s="263"/>
      <c r="AT36" s="263"/>
      <c r="AU36" s="217"/>
      <c r="AV36" s="304"/>
      <c r="AW36" s="304"/>
      <c r="AX36" s="304"/>
      <c r="AY36" s="304"/>
      <c r="AZ36" s="304"/>
      <c r="BA36" s="354">
        <v>0</v>
      </c>
    </row>
    <row r="37" spans="1:53" s="1770" customFormat="1" ht="1.1499999999999999" customHeight="1">
      <c r="A37" s="1291"/>
      <c r="B37" s="1291"/>
      <c r="C37" s="1291"/>
      <c r="D37" s="1291"/>
      <c r="E37" s="1291"/>
      <c r="F37" s="1291"/>
      <c r="G37" s="1291"/>
      <c r="H37" s="1291"/>
      <c r="I37" s="1291"/>
      <c r="J37" s="1291"/>
      <c r="K37" s="1291"/>
      <c r="L37" s="1292"/>
      <c r="M37" s="1291"/>
      <c r="N37" s="1291"/>
      <c r="O37" s="1291"/>
      <c r="P37" s="1291"/>
      <c r="Q37" s="1291"/>
      <c r="S37" s="260"/>
      <c r="T37" s="260"/>
      <c r="U37" s="1263"/>
      <c r="V37" s="263"/>
      <c r="W37" s="263"/>
      <c r="X37" s="263"/>
      <c r="Y37" s="263"/>
      <c r="Z37" s="263"/>
      <c r="AA37" s="215" t="s">
        <v>442</v>
      </c>
      <c r="AB37" s="263"/>
      <c r="AC37" s="263"/>
      <c r="AD37" s="263"/>
      <c r="AE37" s="263"/>
      <c r="AF37" s="263"/>
      <c r="AG37" s="263"/>
      <c r="AH37" s="263"/>
      <c r="AI37" s="263"/>
      <c r="AJ37" s="263"/>
      <c r="AK37" s="263"/>
      <c r="AL37" s="263"/>
      <c r="AM37" s="263"/>
      <c r="AN37" s="263"/>
      <c r="AO37" s="263"/>
      <c r="AP37" s="263"/>
      <c r="AQ37" s="263"/>
      <c r="AR37" s="263"/>
      <c r="AS37" s="215" t="s">
        <v>442</v>
      </c>
      <c r="AV37" s="304"/>
      <c r="AW37" s="304"/>
      <c r="AX37" s="304"/>
      <c r="AY37" s="304"/>
      <c r="AZ37" s="304"/>
      <c r="BA37" s="354">
        <v>1</v>
      </c>
    </row>
    <row r="38" spans="1:53" ht="14.65" customHeight="1">
      <c r="Q38" s="228"/>
      <c r="R38" s="312"/>
      <c r="S38" s="1198"/>
      <c r="T38" s="299"/>
      <c r="U38" s="1167"/>
      <c r="V38" s="2500"/>
      <c r="W38" s="2500"/>
      <c r="X38" s="2500"/>
      <c r="Y38" s="2500"/>
      <c r="Z38" s="2500"/>
      <c r="AA38" s="2500"/>
      <c r="AB38" s="2500"/>
      <c r="AC38" s="2500"/>
      <c r="AD38" s="2500"/>
      <c r="AE38" s="2500"/>
      <c r="AF38" s="2500"/>
      <c r="AG38" s="2500"/>
      <c r="AH38" s="2500"/>
      <c r="AI38" s="2500"/>
      <c r="AJ38" s="2500"/>
      <c r="AK38" s="2500"/>
      <c r="AL38" s="2500"/>
      <c r="AM38" s="2500"/>
      <c r="AN38" s="2500"/>
      <c r="AO38" s="2500"/>
      <c r="AP38" s="2500"/>
      <c r="AQ38" s="2500"/>
      <c r="AR38" s="2500"/>
      <c r="AS38" s="2500"/>
      <c r="BA38" s="1078">
        <v>14</v>
      </c>
    </row>
    <row r="39" spans="1:53" ht="14.65" customHeight="1">
      <c r="Q39" s="228"/>
      <c r="R39" s="312"/>
      <c r="S39" s="2371" t="s">
        <v>319</v>
      </c>
      <c r="T39" s="2371"/>
      <c r="U39" s="2371"/>
      <c r="V39" s="2371"/>
      <c r="W39" s="2371"/>
      <c r="X39" s="2371"/>
      <c r="Y39" s="2371"/>
      <c r="Z39" s="2371"/>
      <c r="AA39" s="2371"/>
      <c r="AB39" s="2435"/>
      <c r="AC39" s="2435"/>
      <c r="AD39" s="2435"/>
      <c r="AE39" s="2435"/>
      <c r="AF39" s="2371"/>
      <c r="AG39" s="2371"/>
      <c r="AH39" s="2371"/>
      <c r="AI39" s="2371"/>
      <c r="AJ39" s="2371"/>
      <c r="AK39" s="2371"/>
      <c r="AL39" s="2371"/>
      <c r="AM39" s="2371"/>
      <c r="AN39" s="2371"/>
      <c r="AO39" s="2371"/>
      <c r="AP39" s="2371"/>
      <c r="AQ39" s="2371"/>
      <c r="AR39" s="2371"/>
      <c r="AS39" s="2371"/>
      <c r="AT39" s="2371"/>
      <c r="AU39" s="2371" t="s">
        <v>320</v>
      </c>
      <c r="BA39" s="1078">
        <v>14</v>
      </c>
    </row>
    <row r="40" spans="1:53" ht="14.65" customHeight="1">
      <c r="Q40" s="228"/>
      <c r="R40" s="312"/>
      <c r="S40" s="2514" t="s">
        <v>89</v>
      </c>
      <c r="T40" s="2466" t="s">
        <v>488</v>
      </c>
      <c r="U40" s="238"/>
      <c r="V40" s="2516"/>
      <c r="W40" s="2516"/>
      <c r="X40" s="2516"/>
      <c r="Y40" s="2516"/>
      <c r="Z40" s="2517"/>
      <c r="AA40" s="2559" t="s">
        <v>445</v>
      </c>
      <c r="AB40" s="2551" t="s">
        <v>489</v>
      </c>
      <c r="AC40" s="2532"/>
      <c r="AD40" s="2532"/>
      <c r="AE40" s="2552"/>
      <c r="AF40" s="2532" t="s">
        <v>490</v>
      </c>
      <c r="AG40" s="2532"/>
      <c r="AH40" s="2532"/>
      <c r="AI40" s="2552"/>
      <c r="AJ40" s="2551" t="s">
        <v>491</v>
      </c>
      <c r="AK40" s="2532"/>
      <c r="AL40" s="2532"/>
      <c r="AM40" s="2552"/>
      <c r="AN40" s="2551" t="s">
        <v>444</v>
      </c>
      <c r="AO40" s="2532"/>
      <c r="AP40" s="2516"/>
      <c r="AQ40" s="2516"/>
      <c r="AR40" s="2517"/>
      <c r="AS40" s="2518" t="s">
        <v>445</v>
      </c>
      <c r="AT40" s="2521" t="s">
        <v>447</v>
      </c>
      <c r="AU40" s="2371"/>
      <c r="BA40" s="1078">
        <v>14</v>
      </c>
    </row>
    <row r="41" spans="1:53" ht="35.65" customHeight="1">
      <c r="Q41" s="228"/>
      <c r="R41" s="312"/>
      <c r="S41" s="2514"/>
      <c r="T41" s="2466"/>
      <c r="U41" s="958"/>
      <c r="V41" s="2371" t="s">
        <v>492</v>
      </c>
      <c r="W41" s="2371"/>
      <c r="X41" s="2452" t="s">
        <v>451</v>
      </c>
      <c r="Y41" s="2546"/>
      <c r="Z41" s="2453"/>
      <c r="AA41" s="2560"/>
      <c r="AB41" s="2553"/>
      <c r="AC41" s="2554"/>
      <c r="AD41" s="2554"/>
      <c r="AE41" s="2555"/>
      <c r="AF41" s="2554"/>
      <c r="AG41" s="2554"/>
      <c r="AH41" s="2554"/>
      <c r="AI41" s="2555"/>
      <c r="AJ41" s="2553"/>
      <c r="AK41" s="2554"/>
      <c r="AL41" s="2554"/>
      <c r="AM41" s="2554"/>
      <c r="AN41" s="2371" t="s">
        <v>492</v>
      </c>
      <c r="AO41" s="2371"/>
      <c r="AP41" s="2546" t="s">
        <v>451</v>
      </c>
      <c r="AQ41" s="2546"/>
      <c r="AR41" s="2453"/>
      <c r="AS41" s="2519"/>
      <c r="AT41" s="2522"/>
      <c r="AU41" s="2371"/>
      <c r="BA41" s="1078">
        <v>34</v>
      </c>
    </row>
    <row r="42" spans="1:53" ht="14.65" customHeight="1">
      <c r="Q42" s="228"/>
      <c r="R42" s="312"/>
      <c r="S42" s="2514"/>
      <c r="T42" s="2466"/>
      <c r="U42" s="958"/>
      <c r="V42" s="2563" t="str">
        <f>IF($AN$42&lt;&gt;"",$AN$42,"")</f>
        <v/>
      </c>
      <c r="W42" s="2563"/>
      <c r="X42" s="2457"/>
      <c r="Y42" s="2547"/>
      <c r="Z42" s="2458"/>
      <c r="AA42" s="2560"/>
      <c r="AB42" s="2553"/>
      <c r="AC42" s="2554"/>
      <c r="AD42" s="2554"/>
      <c r="AE42" s="2555"/>
      <c r="AF42" s="2554"/>
      <c r="AG42" s="2554"/>
      <c r="AH42" s="2554"/>
      <c r="AI42" s="2555"/>
      <c r="AJ42" s="2553"/>
      <c r="AK42" s="2554"/>
      <c r="AL42" s="2554"/>
      <c r="AM42" s="2554"/>
      <c r="AN42" s="2562"/>
      <c r="AO42" s="2562"/>
      <c r="AP42" s="2547"/>
      <c r="AQ42" s="2547"/>
      <c r="AR42" s="2458"/>
      <c r="AS42" s="2519"/>
      <c r="AT42" s="2522"/>
      <c r="AU42" s="2371"/>
      <c r="BA42" s="1078">
        <v>14</v>
      </c>
    </row>
    <row r="43" spans="1:53" ht="14.65" customHeight="1">
      <c r="A43" s="1293"/>
      <c r="B43" s="1293" t="s">
        <v>156</v>
      </c>
      <c r="C43" s="1293" t="s">
        <v>157</v>
      </c>
      <c r="D43" s="1293" t="s">
        <v>158</v>
      </c>
      <c r="E43" s="1287" t="s">
        <v>452</v>
      </c>
      <c r="F43" s="1287" t="s">
        <v>453</v>
      </c>
      <c r="G43" s="1287" t="s">
        <v>454</v>
      </c>
      <c r="H43" s="1287" t="s">
        <v>455</v>
      </c>
      <c r="I43" s="1287" t="s">
        <v>456</v>
      </c>
      <c r="J43" s="1287" t="s">
        <v>457</v>
      </c>
      <c r="K43" s="1287" t="s">
        <v>458</v>
      </c>
      <c r="L43" s="1287" t="s">
        <v>437</v>
      </c>
      <c r="Q43" s="228"/>
      <c r="R43" s="312"/>
      <c r="S43" s="2514"/>
      <c r="T43" s="2466"/>
      <c r="U43" s="239"/>
      <c r="V43" s="1253" t="s">
        <v>493</v>
      </c>
      <c r="W43" s="1253" t="s">
        <v>494</v>
      </c>
      <c r="X43" s="1261" t="s">
        <v>461</v>
      </c>
      <c r="Y43" s="2474" t="s">
        <v>462</v>
      </c>
      <c r="Z43" s="2476"/>
      <c r="AA43" s="2561"/>
      <c r="AB43" s="2556"/>
      <c r="AC43" s="2557"/>
      <c r="AD43" s="2557"/>
      <c r="AE43" s="2558"/>
      <c r="AF43" s="2557"/>
      <c r="AG43" s="2557"/>
      <c r="AH43" s="2557"/>
      <c r="AI43" s="2558"/>
      <c r="AJ43" s="2556"/>
      <c r="AK43" s="2557"/>
      <c r="AL43" s="2557"/>
      <c r="AM43" s="2558"/>
      <c r="AN43" s="1777" t="s">
        <v>493</v>
      </c>
      <c r="AO43" s="1777" t="s">
        <v>494</v>
      </c>
      <c r="AP43" s="1261" t="s">
        <v>461</v>
      </c>
      <c r="AQ43" s="2474" t="s">
        <v>462</v>
      </c>
      <c r="AR43" s="2476"/>
      <c r="AS43" s="2520"/>
      <c r="AT43" s="2523"/>
      <c r="AU43" s="2371"/>
      <c r="BA43" s="1078">
        <v>14</v>
      </c>
    </row>
    <row r="44" spans="1:53" s="1564" customFormat="1" ht="11.25" hidden="1" customHeight="1">
      <c r="A44" s="1293"/>
      <c r="B44" s="1293"/>
      <c r="C44" s="1293"/>
      <c r="D44" s="1293"/>
      <c r="E44" s="1293"/>
      <c r="F44" s="1293"/>
      <c r="G44" s="1293"/>
      <c r="H44" s="1293"/>
      <c r="I44" s="1293"/>
      <c r="J44" s="1293"/>
      <c r="K44" s="1293"/>
      <c r="L44" s="1287"/>
      <c r="M44" s="1285"/>
      <c r="N44" s="1285"/>
      <c r="O44" s="1285"/>
      <c r="P44" s="446"/>
      <c r="Q44" s="1177"/>
      <c r="R44" s="1177">
        <v>1</v>
      </c>
      <c r="S44" s="1200" t="s">
        <v>100</v>
      </c>
      <c r="T44" s="1178" t="s">
        <v>103</v>
      </c>
      <c r="U44" s="1168" t="str">
        <f ca="1">OFFSET(U44,0,-1)</f>
        <v>2</v>
      </c>
      <c r="V44" s="1258">
        <f ca="1">OFFSET(V44,0,-1)+1</f>
        <v>3</v>
      </c>
      <c r="W44" s="1258">
        <f ca="1">OFFSET(W44,0,-1)+1</f>
        <v>4</v>
      </c>
      <c r="X44" s="1258">
        <f ca="1">OFFSET(X44,0,-1)+1</f>
        <v>5</v>
      </c>
      <c r="Y44" s="2513">
        <f ca="1">OFFSET(Y44,0,-1)+1</f>
        <v>6</v>
      </c>
      <c r="Z44" s="2513"/>
      <c r="AA44" s="1258">
        <f ca="1">OFFSET(AA44,0,-2)+1</f>
        <v>7</v>
      </c>
      <c r="AB44" s="1264">
        <f ca="1">OFFSET(AB44,0,-1)+1</f>
        <v>8</v>
      </c>
      <c r="AC44" s="1264"/>
      <c r="AD44" s="1264"/>
      <c r="AE44" s="1264"/>
      <c r="AF44" s="1258"/>
      <c r="AG44" s="1258"/>
      <c r="AH44" s="1258"/>
      <c r="AI44" s="1258"/>
      <c r="AJ44" s="1258"/>
      <c r="AK44" s="1258"/>
      <c r="AL44" s="1258"/>
      <c r="AM44" s="1258"/>
      <c r="AN44" s="1258">
        <f ca="1">OFFSET(AN44,0,-1)+1</f>
        <v>1</v>
      </c>
      <c r="AO44" s="1258">
        <f ca="1">OFFSET(AO44,0,-1)+1</f>
        <v>2</v>
      </c>
      <c r="AP44" s="1258">
        <f ca="1">OFFSET(AP44,0,-1)+1</f>
        <v>3</v>
      </c>
      <c r="AQ44" s="2513">
        <f ca="1">OFFSET(AQ44,0,-1)+1</f>
        <v>4</v>
      </c>
      <c r="AR44" s="2513"/>
      <c r="AS44" s="1258">
        <f ca="1">OFFSET(AS44,0,-2)+1</f>
        <v>5</v>
      </c>
      <c r="AT44" s="1168">
        <f ca="1">OFFSET(AT44,0,-1)</f>
        <v>5</v>
      </c>
      <c r="AU44" s="1258">
        <f ca="1">OFFSET(AU44,0,-1)+1</f>
        <v>6</v>
      </c>
      <c r="AV44" s="447"/>
      <c r="AW44" s="447"/>
      <c r="AX44" s="447"/>
      <c r="AY44" s="447"/>
      <c r="AZ44" s="447"/>
      <c r="BA44" s="432">
        <v>0</v>
      </c>
    </row>
    <row r="45" spans="1:53" ht="107.25" customHeight="1">
      <c r="A45" s="1286" t="s">
        <v>219</v>
      </c>
      <c r="B45" s="1286"/>
      <c r="C45" s="1286"/>
      <c r="D45" s="1286"/>
      <c r="E45" s="2506">
        <v>1</v>
      </c>
      <c r="F45" s="1286"/>
      <c r="G45" s="1286"/>
      <c r="H45" s="1286"/>
      <c r="I45" s="1286"/>
      <c r="J45" s="1286"/>
      <c r="K45" s="1286"/>
      <c r="L45" s="1287"/>
      <c r="M45" s="1288"/>
      <c r="N45" s="1288"/>
      <c r="O45" s="1288"/>
      <c r="P45" s="1332"/>
      <c r="Q45" s="802"/>
      <c r="R45" s="291"/>
      <c r="S45" s="1259">
        <f>INDEX(PT_DIFFERENTIATION_NUM_NTAR,MATCH(A45,PT_DIFFERENTIATION_NTAR_ID,0))</f>
        <v>0</v>
      </c>
      <c r="T45" s="235" t="s">
        <v>144</v>
      </c>
      <c r="U45" s="237"/>
      <c r="V45" s="2493"/>
      <c r="W45" s="2493"/>
      <c r="X45" s="2493"/>
      <c r="Y45" s="2493"/>
      <c r="Z45" s="2493"/>
      <c r="AA45" s="2494"/>
      <c r="AB45" s="2492" t="str">
        <f>INDEX(PT_DIFFERENTIATION_NTAR,MATCH(A45,PT_DIFFERENTIATION_NTAR_ID,0))</f>
        <v/>
      </c>
      <c r="AC45" s="2493"/>
      <c r="AD45" s="2493"/>
      <c r="AE45" s="2493"/>
      <c r="AF45" s="2493"/>
      <c r="AG45" s="2493"/>
      <c r="AH45" s="2493"/>
      <c r="AI45" s="2493"/>
      <c r="AJ45" s="2493"/>
      <c r="AK45" s="2493"/>
      <c r="AL45" s="2493"/>
      <c r="AM45" s="2493"/>
      <c r="AN45" s="2493"/>
      <c r="AO45" s="2493"/>
      <c r="AP45" s="2493"/>
      <c r="AQ45" s="2493"/>
      <c r="AR45" s="2493"/>
      <c r="AS45" s="2493"/>
      <c r="AT45" s="2494"/>
      <c r="AU45" s="118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78">
        <v>102</v>
      </c>
    </row>
    <row r="46" spans="1:53" ht="21.95" customHeight="1">
      <c r="A46" s="1286" t="s">
        <v>219</v>
      </c>
      <c r="B46" s="1286" t="s">
        <v>220</v>
      </c>
      <c r="C46" s="1286"/>
      <c r="D46" s="1286"/>
      <c r="E46" s="2507"/>
      <c r="F46" s="2506">
        <v>1</v>
      </c>
      <c r="G46" s="1286"/>
      <c r="H46" s="1286"/>
      <c r="I46" s="1286"/>
      <c r="J46" s="1286"/>
      <c r="K46" s="1286"/>
      <c r="L46" s="1287"/>
      <c r="M46" s="1288"/>
      <c r="N46" s="1288"/>
      <c r="O46" s="1288"/>
      <c r="P46" s="1333"/>
      <c r="Q46" s="1334"/>
      <c r="R46" s="289"/>
      <c r="S46" s="1259" t="str">
        <f>INDEX(PT_DIFFERENTIATION_NUM_TER,MATCH(B46,PT_DIFFERENTIATION_TER_ID,0))</f>
        <v>.</v>
      </c>
      <c r="T46" s="245" t="s">
        <v>416</v>
      </c>
      <c r="U46" s="237"/>
      <c r="V46" s="2493"/>
      <c r="W46" s="2493"/>
      <c r="X46" s="2493"/>
      <c r="Y46" s="2493"/>
      <c r="Z46" s="2493"/>
      <c r="AA46" s="2494"/>
      <c r="AB46" s="2492" t="str">
        <f>INDEX(PT_DIFFERENTIATION_TER,MATCH(B46,PT_DIFFERENTIATION_TER_ID,0))</f>
        <v/>
      </c>
      <c r="AC46" s="2493"/>
      <c r="AD46" s="2493"/>
      <c r="AE46" s="2493"/>
      <c r="AF46" s="2493"/>
      <c r="AG46" s="2493"/>
      <c r="AH46" s="2493"/>
      <c r="AI46" s="2493"/>
      <c r="AJ46" s="2493"/>
      <c r="AK46" s="2493"/>
      <c r="AL46" s="2493"/>
      <c r="AM46" s="2493"/>
      <c r="AN46" s="2493"/>
      <c r="AO46" s="2493"/>
      <c r="AP46" s="2493"/>
      <c r="AQ46" s="2493"/>
      <c r="AR46" s="2493"/>
      <c r="AS46" s="2493"/>
      <c r="AT46" s="2494"/>
      <c r="AU46" s="1181" t="s">
        <v>417</v>
      </c>
      <c r="AW46" s="436"/>
      <c r="AX46" s="436" t="str">
        <f t="shared" si="2"/>
        <v>Территория действия тарифа</v>
      </c>
      <c r="AY46" s="436"/>
      <c r="AZ46" s="436"/>
      <c r="BA46" s="1078">
        <v>21</v>
      </c>
    </row>
    <row r="47" spans="1:53" ht="24" customHeight="1">
      <c r="A47" s="1286" t="s">
        <v>219</v>
      </c>
      <c r="B47" s="1286" t="s">
        <v>220</v>
      </c>
      <c r="C47" s="1286" t="s">
        <v>221</v>
      </c>
      <c r="D47" s="1286"/>
      <c r="E47" s="2507"/>
      <c r="F47" s="2507"/>
      <c r="G47" s="2506">
        <v>1</v>
      </c>
      <c r="H47" s="1286"/>
      <c r="I47" s="1286"/>
      <c r="J47" s="1286"/>
      <c r="K47" s="1286"/>
      <c r="L47" s="1287"/>
      <c r="M47" s="1288"/>
      <c r="N47" s="1288"/>
      <c r="O47" s="1288"/>
      <c r="P47" s="1335"/>
      <c r="Q47" s="1334"/>
      <c r="R47" s="289"/>
      <c r="S47" s="1259" t="str">
        <f>INDEX(PT_DIFFERENTIATION_NUM_CS,MATCH(C47,PT_DIFFERENTIATION_CS_ID,0))</f>
        <v>..</v>
      </c>
      <c r="T47" s="246" t="s">
        <v>418</v>
      </c>
      <c r="U47" s="237"/>
      <c r="V47" s="2493"/>
      <c r="W47" s="2493"/>
      <c r="X47" s="2493"/>
      <c r="Y47" s="2493"/>
      <c r="Z47" s="2493"/>
      <c r="AA47" s="2494"/>
      <c r="AB47" s="2492" t="str">
        <f>INDEX(PT_DIFFERENTIATION_CS,MATCH(C47,PT_DIFFERENTIATION_CS_ID,0))</f>
        <v/>
      </c>
      <c r="AC47" s="2493"/>
      <c r="AD47" s="2493"/>
      <c r="AE47" s="2493"/>
      <c r="AF47" s="2493"/>
      <c r="AG47" s="2493"/>
      <c r="AH47" s="2493"/>
      <c r="AI47" s="2493"/>
      <c r="AJ47" s="2493"/>
      <c r="AK47" s="2493"/>
      <c r="AL47" s="2493"/>
      <c r="AM47" s="2493"/>
      <c r="AN47" s="2493"/>
      <c r="AO47" s="2493"/>
      <c r="AP47" s="2493"/>
      <c r="AQ47" s="2493"/>
      <c r="AR47" s="2493"/>
      <c r="AS47" s="2493"/>
      <c r="AT47" s="2494"/>
      <c r="AU47" s="1181" t="s">
        <v>419</v>
      </c>
      <c r="AW47" s="436"/>
      <c r="AX47" s="436" t="str">
        <f t="shared" si="2"/>
        <v xml:space="preserve">Наименование системы теплоснабжения </v>
      </c>
      <c r="AY47" s="436"/>
      <c r="AZ47" s="436"/>
      <c r="BA47" s="1078">
        <v>23</v>
      </c>
    </row>
    <row r="48" spans="1:53" ht="21" customHeight="1">
      <c r="A48" s="1286" t="s">
        <v>219</v>
      </c>
      <c r="B48" s="1286" t="s">
        <v>220</v>
      </c>
      <c r="C48" s="1286" t="s">
        <v>221</v>
      </c>
      <c r="D48" s="1286" t="s">
        <v>222</v>
      </c>
      <c r="E48" s="2507"/>
      <c r="F48" s="2507"/>
      <c r="G48" s="2507"/>
      <c r="H48" s="2506">
        <v>1</v>
      </c>
      <c r="I48" s="1286"/>
      <c r="J48" s="1286"/>
      <c r="K48" s="1286"/>
      <c r="L48" s="1287"/>
      <c r="M48" s="1288"/>
      <c r="N48" s="1288"/>
      <c r="O48" s="1288"/>
      <c r="P48" s="1335"/>
      <c r="Q48" s="1334"/>
      <c r="R48" s="289"/>
      <c r="S48" s="1259" t="str">
        <f>INDEX(PT_DIFFERENTIATION_NUM_IST_TE,MATCH(D48,PT_DIFFERENTIATION_IST_TE_ID,0))</f>
        <v>...</v>
      </c>
      <c r="T48" s="247" t="s">
        <v>420</v>
      </c>
      <c r="U48" s="237"/>
      <c r="V48" s="2493"/>
      <c r="W48" s="2493"/>
      <c r="X48" s="2493"/>
      <c r="Y48" s="2493"/>
      <c r="Z48" s="2493"/>
      <c r="AA48" s="2494"/>
      <c r="AB48" s="2492" t="str">
        <f>INDEX(PT_DIFFERENTIATION_IST_TE,MATCH(D48,PT_DIFFERENTIATION_IST_TE_ID,0))</f>
        <v/>
      </c>
      <c r="AC48" s="2493"/>
      <c r="AD48" s="2493"/>
      <c r="AE48" s="2493"/>
      <c r="AF48" s="2493"/>
      <c r="AG48" s="2493"/>
      <c r="AH48" s="2493"/>
      <c r="AI48" s="2493"/>
      <c r="AJ48" s="2493"/>
      <c r="AK48" s="2493"/>
      <c r="AL48" s="2493"/>
      <c r="AM48" s="2493"/>
      <c r="AN48" s="2493"/>
      <c r="AO48" s="2493"/>
      <c r="AP48" s="2493"/>
      <c r="AQ48" s="2493"/>
      <c r="AR48" s="2493"/>
      <c r="AS48" s="2493"/>
      <c r="AT48" s="2494"/>
      <c r="AU48" s="1181" t="s">
        <v>421</v>
      </c>
      <c r="AW48" s="436"/>
      <c r="AX48" s="436" t="str">
        <f t="shared" si="2"/>
        <v xml:space="preserve">Источник тепловой энергии  </v>
      </c>
      <c r="AY48" s="436"/>
      <c r="AZ48" s="436"/>
      <c r="BA48" s="1078">
        <v>20</v>
      </c>
    </row>
    <row r="49" spans="1:53" s="1565" customFormat="1" ht="1.1499999999999999" customHeight="1">
      <c r="A49" s="1266" t="s">
        <v>219</v>
      </c>
      <c r="B49" s="1266" t="s">
        <v>220</v>
      </c>
      <c r="C49" s="1266" t="s">
        <v>221</v>
      </c>
      <c r="D49" s="1266" t="s">
        <v>222</v>
      </c>
      <c r="E49" s="2507"/>
      <c r="F49" s="2507"/>
      <c r="G49" s="2507"/>
      <c r="H49" s="2507"/>
      <c r="I49" s="2504" t="str">
        <f>S48&amp;".1"</f>
        <v>....1</v>
      </c>
      <c r="J49" s="1266"/>
      <c r="K49" s="1266"/>
      <c r="L49" s="1269" t="s">
        <v>422</v>
      </c>
      <c r="M49" s="446"/>
      <c r="N49" s="446"/>
      <c r="O49" s="446"/>
      <c r="P49" s="2505">
        <v>1</v>
      </c>
      <c r="Q49" s="1254"/>
      <c r="R49" s="292"/>
      <c r="S49" s="969"/>
      <c r="T49" s="1306"/>
      <c r="U49" s="1307"/>
      <c r="V49" s="2536"/>
      <c r="W49" s="2536"/>
      <c r="X49" s="2536"/>
      <c r="Y49" s="2536"/>
      <c r="Z49" s="2536"/>
      <c r="AA49" s="2537"/>
      <c r="AB49" s="2535"/>
      <c r="AC49" s="2536"/>
      <c r="AD49" s="2536"/>
      <c r="AE49" s="2536"/>
      <c r="AF49" s="2536"/>
      <c r="AG49" s="2536"/>
      <c r="AH49" s="2536"/>
      <c r="AI49" s="2536"/>
      <c r="AJ49" s="2536"/>
      <c r="AK49" s="2536"/>
      <c r="AL49" s="2536"/>
      <c r="AM49" s="2536"/>
      <c r="AN49" s="2536"/>
      <c r="AO49" s="2536"/>
      <c r="AP49" s="2536"/>
      <c r="AQ49" s="2536"/>
      <c r="AR49" s="2536"/>
      <c r="AS49" s="2536"/>
      <c r="AT49" s="2537"/>
      <c r="AU49" s="1308"/>
      <c r="AW49" s="436"/>
      <c r="AX49" s="436" t="str">
        <f t="shared" si="2"/>
        <v/>
      </c>
      <c r="AY49" s="436"/>
      <c r="AZ49" s="436"/>
      <c r="BA49" s="447">
        <v>1</v>
      </c>
    </row>
    <row r="50" spans="1:53" s="1565" customFormat="1" ht="1.1499999999999999" customHeight="1">
      <c r="A50" s="1266" t="s">
        <v>219</v>
      </c>
      <c r="B50" s="1266" t="s">
        <v>220</v>
      </c>
      <c r="C50" s="1266" t="s">
        <v>221</v>
      </c>
      <c r="D50" s="1266" t="s">
        <v>222</v>
      </c>
      <c r="E50" s="2507"/>
      <c r="F50" s="2507"/>
      <c r="G50" s="2507"/>
      <c r="H50" s="2507"/>
      <c r="I50" s="2527"/>
      <c r="J50" s="2504" t="str">
        <f>S48&amp;".1"</f>
        <v>....1</v>
      </c>
      <c r="K50" s="1266"/>
      <c r="L50" s="1269"/>
      <c r="M50" s="446"/>
      <c r="N50" s="446"/>
      <c r="O50" s="446"/>
      <c r="P50" s="2505"/>
      <c r="Q50" s="2505">
        <v>1</v>
      </c>
      <c r="R50" s="293"/>
      <c r="S50" s="969"/>
      <c r="T50" s="1322"/>
      <c r="U50" s="1307"/>
      <c r="V50" s="2536"/>
      <c r="W50" s="2536"/>
      <c r="X50" s="2536"/>
      <c r="Y50" s="2536"/>
      <c r="Z50" s="2536"/>
      <c r="AA50" s="2537"/>
      <c r="AB50" s="2535"/>
      <c r="AC50" s="2536"/>
      <c r="AD50" s="2536"/>
      <c r="AE50" s="2536"/>
      <c r="AF50" s="2536"/>
      <c r="AG50" s="2536"/>
      <c r="AH50" s="2536"/>
      <c r="AI50" s="2536"/>
      <c r="AJ50" s="2536"/>
      <c r="AK50" s="2536"/>
      <c r="AL50" s="2536"/>
      <c r="AM50" s="2536"/>
      <c r="AN50" s="2536"/>
      <c r="AO50" s="2536"/>
      <c r="AP50" s="2536"/>
      <c r="AQ50" s="2536"/>
      <c r="AR50" s="2536"/>
      <c r="AS50" s="2536"/>
      <c r="AT50" s="2537"/>
      <c r="AU50" s="1308"/>
      <c r="AW50" s="436"/>
      <c r="AX50" s="436" t="str">
        <f t="shared" si="2"/>
        <v/>
      </c>
      <c r="AY50" s="436"/>
      <c r="AZ50" s="436"/>
      <c r="BA50" s="447">
        <v>1</v>
      </c>
    </row>
    <row r="51" spans="1:53" ht="21.95" customHeight="1">
      <c r="A51" s="1286" t="s">
        <v>219</v>
      </c>
      <c r="B51" s="1286" t="s">
        <v>220</v>
      </c>
      <c r="C51" s="1286" t="s">
        <v>221</v>
      </c>
      <c r="D51" s="1286" t="s">
        <v>222</v>
      </c>
      <c r="E51" s="2507"/>
      <c r="F51" s="2507"/>
      <c r="G51" s="2507"/>
      <c r="H51" s="2507"/>
      <c r="I51" s="2527"/>
      <c r="J51" s="2527"/>
      <c r="K51" s="2504" t="str">
        <f>S48&amp;".1"</f>
        <v>....1</v>
      </c>
      <c r="L51" s="1287"/>
      <c r="P51" s="2505"/>
      <c r="Q51" s="2505"/>
      <c r="R51" s="293">
        <v>1</v>
      </c>
      <c r="S51" s="2564" t="str">
        <f>$K51</f>
        <v>....1</v>
      </c>
      <c r="T51" s="2567"/>
      <c r="U51" s="237"/>
      <c r="V51" s="686"/>
      <c r="W51" s="1180"/>
      <c r="X51" s="1655"/>
      <c r="Y51" s="1382" t="s">
        <v>63</v>
      </c>
      <c r="Z51" s="1655"/>
      <c r="AA51" s="1382" t="s">
        <v>63</v>
      </c>
      <c r="AB51" s="2360" t="s">
        <v>19</v>
      </c>
      <c r="AC51" s="2549"/>
      <c r="AD51" s="2462">
        <v>1</v>
      </c>
      <c r="AE51" s="2571" t="s">
        <v>22</v>
      </c>
      <c r="AF51" s="2360" t="s">
        <v>19</v>
      </c>
      <c r="AG51" s="2549"/>
      <c r="AH51" s="2462">
        <v>1</v>
      </c>
      <c r="AI51" s="2571" t="s">
        <v>22</v>
      </c>
      <c r="AJ51" s="2360" t="s">
        <v>19</v>
      </c>
      <c r="AK51" s="248"/>
      <c r="AL51" s="1260">
        <v>1</v>
      </c>
      <c r="AM51" s="1325"/>
      <c r="AN51" s="686"/>
      <c r="AO51" s="1180"/>
      <c r="AP51" s="1655"/>
      <c r="AQ51" s="1382" t="s">
        <v>63</v>
      </c>
      <c r="AR51" s="1655"/>
      <c r="AS51" s="1382" t="s">
        <v>63</v>
      </c>
      <c r="AT51" s="1271"/>
      <c r="AU51" s="2501" t="s">
        <v>495</v>
      </c>
      <c r="AV51" s="447" t="e">
        <f ca="1">STRCHECKDATE(V54:AT54)</f>
        <v>#NAME?</v>
      </c>
      <c r="AW51" s="436"/>
      <c r="AX51" s="436" t="str">
        <f t="shared" si="2"/>
        <v/>
      </c>
      <c r="AY51" s="436"/>
      <c r="AZ51" s="436"/>
      <c r="BA51" s="1078">
        <v>21</v>
      </c>
    </row>
    <row r="52" spans="1:53" ht="11.45" customHeight="1">
      <c r="A52" s="1286" t="s">
        <v>219</v>
      </c>
      <c r="B52" s="1286"/>
      <c r="C52" s="1286"/>
      <c r="D52" s="1286"/>
      <c r="E52" s="2507"/>
      <c r="F52" s="2507"/>
      <c r="G52" s="2507"/>
      <c r="H52" s="2507"/>
      <c r="I52" s="2527"/>
      <c r="J52" s="2527"/>
      <c r="K52" s="2504"/>
      <c r="L52" s="1287"/>
      <c r="P52" s="2505"/>
      <c r="Q52" s="2505"/>
      <c r="R52" s="293"/>
      <c r="S52" s="2565"/>
      <c r="T52" s="2568"/>
      <c r="U52" s="237"/>
      <c r="V52" s="1316"/>
      <c r="W52" s="1419"/>
      <c r="X52" s="1316"/>
      <c r="Y52" s="1316"/>
      <c r="Z52" s="1316"/>
      <c r="AA52" s="1316"/>
      <c r="AB52" s="2360"/>
      <c r="AC52" s="2549"/>
      <c r="AD52" s="2462"/>
      <c r="AE52" s="2571"/>
      <c r="AF52" s="2360"/>
      <c r="AG52" s="2549"/>
      <c r="AH52" s="2462"/>
      <c r="AI52" s="2571"/>
      <c r="AJ52" s="2360"/>
      <c r="AK52" s="253"/>
      <c r="AL52" s="352"/>
      <c r="AM52" s="351" t="s">
        <v>480</v>
      </c>
      <c r="AN52" s="1316"/>
      <c r="AO52" s="1419"/>
      <c r="AP52" s="1316"/>
      <c r="AQ52" s="1316"/>
      <c r="AR52" s="1316"/>
      <c r="AS52" s="1316"/>
      <c r="AT52" s="1313"/>
      <c r="AU52" s="2502"/>
      <c r="AW52" s="436"/>
      <c r="AX52" s="436"/>
      <c r="AY52" s="436"/>
      <c r="AZ52" s="436"/>
      <c r="BA52" s="1078">
        <v>11</v>
      </c>
    </row>
    <row r="53" spans="1:53" ht="11.45" customHeight="1">
      <c r="A53" s="1286" t="s">
        <v>219</v>
      </c>
      <c r="B53" s="1286"/>
      <c r="C53" s="1286"/>
      <c r="D53" s="1286"/>
      <c r="E53" s="2507"/>
      <c r="F53" s="2507"/>
      <c r="G53" s="2507"/>
      <c r="H53" s="2507"/>
      <c r="I53" s="2527"/>
      <c r="J53" s="2527"/>
      <c r="K53" s="2504"/>
      <c r="L53" s="1287"/>
      <c r="P53" s="2505"/>
      <c r="Q53" s="2505"/>
      <c r="R53" s="293"/>
      <c r="S53" s="2565"/>
      <c r="T53" s="2568"/>
      <c r="U53" s="237"/>
      <c r="V53" s="1316"/>
      <c r="W53" s="1419"/>
      <c r="X53" s="1316"/>
      <c r="Y53" s="1316"/>
      <c r="Z53" s="1316"/>
      <c r="AA53" s="1316"/>
      <c r="AB53" s="2360"/>
      <c r="AC53" s="2549"/>
      <c r="AD53" s="2462"/>
      <c r="AE53" s="2571"/>
      <c r="AF53" s="2360"/>
      <c r="AG53" s="231"/>
      <c r="AH53" s="351"/>
      <c r="AI53" s="351" t="s">
        <v>481</v>
      </c>
      <c r="AJ53" s="1316"/>
      <c r="AK53" s="1316"/>
      <c r="AL53" s="1316"/>
      <c r="AM53" s="1316"/>
      <c r="AN53" s="1316"/>
      <c r="AO53" s="1419"/>
      <c r="AP53" s="1316"/>
      <c r="AQ53" s="1316"/>
      <c r="AR53" s="1316"/>
      <c r="AS53" s="1316"/>
      <c r="AT53" s="1313"/>
      <c r="AU53" s="2502"/>
      <c r="AW53" s="436"/>
      <c r="AX53" s="436"/>
      <c r="AY53" s="436"/>
      <c r="AZ53" s="436"/>
      <c r="BA53" s="1078">
        <v>11</v>
      </c>
    </row>
    <row r="54" spans="1:53" ht="11.45" customHeight="1">
      <c r="A54" s="1286" t="s">
        <v>219</v>
      </c>
      <c r="B54" s="1286" t="s">
        <v>220</v>
      </c>
      <c r="C54" s="1286" t="s">
        <v>221</v>
      </c>
      <c r="D54" s="1286" t="s">
        <v>222</v>
      </c>
      <c r="E54" s="2507"/>
      <c r="F54" s="2507"/>
      <c r="G54" s="2507"/>
      <c r="H54" s="2507"/>
      <c r="I54" s="2527"/>
      <c r="J54" s="2527"/>
      <c r="K54" s="2504"/>
      <c r="L54" s="1287"/>
      <c r="P54" s="2505"/>
      <c r="Q54" s="2505"/>
      <c r="R54" s="293"/>
      <c r="S54" s="2566"/>
      <c r="T54" s="2569"/>
      <c r="U54" s="237"/>
      <c r="V54" s="1316"/>
      <c r="W54" s="1317" t="str">
        <f>X51&amp;"-"&amp;Z51</f>
        <v>-</v>
      </c>
      <c r="X54" s="1316"/>
      <c r="Y54" s="1316"/>
      <c r="Z54" s="1316"/>
      <c r="AA54" s="1316"/>
      <c r="AB54" s="2360"/>
      <c r="AC54" s="249"/>
      <c r="AD54" s="251"/>
      <c r="AE54" s="351" t="s">
        <v>482</v>
      </c>
      <c r="AF54" s="1316"/>
      <c r="AG54" s="1316"/>
      <c r="AH54" s="1316"/>
      <c r="AI54" s="1316"/>
      <c r="AJ54" s="1316"/>
      <c r="AK54" s="1316"/>
      <c r="AL54" s="1316"/>
      <c r="AM54" s="1316"/>
      <c r="AN54" s="1316"/>
      <c r="AO54" s="1317" t="str">
        <f>AP51&amp;"-"&amp;AR51</f>
        <v>-</v>
      </c>
      <c r="AP54" s="1316"/>
      <c r="AQ54" s="1316"/>
      <c r="AR54" s="1316"/>
      <c r="AS54" s="1316"/>
      <c r="AT54" s="1272"/>
      <c r="AU54" s="2502"/>
      <c r="AW54" s="436"/>
      <c r="AX54" s="436" t="str">
        <f t="shared" ref="AX54:AX62" si="3">IF(T54="","",T54)</f>
        <v/>
      </c>
      <c r="AY54" s="436"/>
      <c r="AZ54" s="436"/>
      <c r="BA54" s="1078">
        <v>11</v>
      </c>
    </row>
    <row r="55" spans="1:53" ht="11.45" customHeight="1">
      <c r="A55" s="1286" t="s">
        <v>219</v>
      </c>
      <c r="B55" s="1286" t="s">
        <v>220</v>
      </c>
      <c r="C55" s="1286" t="s">
        <v>221</v>
      </c>
      <c r="D55" s="1286" t="s">
        <v>222</v>
      </c>
      <c r="E55" s="2507"/>
      <c r="F55" s="2507"/>
      <c r="G55" s="2507"/>
      <c r="H55" s="2507"/>
      <c r="I55" s="2527"/>
      <c r="J55" s="2504"/>
      <c r="K55" s="1286"/>
      <c r="L55" s="1287"/>
      <c r="P55" s="2505"/>
      <c r="Q55" s="2505"/>
      <c r="R55" s="292"/>
      <c r="S55" s="1201"/>
      <c r="T55" s="224" t="s">
        <v>483</v>
      </c>
      <c r="U55" s="303"/>
      <c r="V55" s="303"/>
      <c r="W55" s="303"/>
      <c r="X55" s="303"/>
      <c r="Y55" s="303"/>
      <c r="Z55" s="303"/>
      <c r="AA55" s="261"/>
      <c r="AB55" s="1428"/>
      <c r="AC55" s="303"/>
      <c r="AD55" s="303"/>
      <c r="AE55" s="303"/>
      <c r="AF55" s="303"/>
      <c r="AG55" s="303"/>
      <c r="AH55" s="303"/>
      <c r="AI55" s="303"/>
      <c r="AJ55" s="303"/>
      <c r="AK55" s="303"/>
      <c r="AL55" s="303"/>
      <c r="AM55" s="303"/>
      <c r="AN55" s="303"/>
      <c r="AO55" s="303"/>
      <c r="AP55" s="303"/>
      <c r="AQ55" s="303"/>
      <c r="AR55" s="303"/>
      <c r="AS55" s="303"/>
      <c r="AT55" s="261"/>
      <c r="AU55" s="2503"/>
      <c r="AW55" s="436"/>
      <c r="AX55" s="436" t="str">
        <f t="shared" si="3"/>
        <v>Добавить строку</v>
      </c>
      <c r="AY55" s="436"/>
      <c r="AZ55" s="436"/>
      <c r="BA55" s="1078">
        <v>11</v>
      </c>
    </row>
    <row r="56" spans="1:53" s="1565" customFormat="1" ht="1.1499999999999999" customHeight="1">
      <c r="A56" s="1266" t="s">
        <v>219</v>
      </c>
      <c r="B56" s="1266" t="s">
        <v>220</v>
      </c>
      <c r="C56" s="1266" t="s">
        <v>221</v>
      </c>
      <c r="D56" s="1266" t="s">
        <v>222</v>
      </c>
      <c r="E56" s="2507"/>
      <c r="F56" s="2507"/>
      <c r="G56" s="2507"/>
      <c r="H56" s="2507"/>
      <c r="I56" s="2504"/>
      <c r="J56" s="1266"/>
      <c r="K56" s="1266"/>
      <c r="L56" s="1269"/>
      <c r="M56" s="446"/>
      <c r="N56" s="446"/>
      <c r="O56" s="446"/>
      <c r="P56" s="2505"/>
      <c r="Q56" s="1254"/>
      <c r="R56" s="292"/>
      <c r="S56" s="1309"/>
      <c r="T56" s="1310" t="s">
        <v>431</v>
      </c>
      <c r="U56" s="1311"/>
      <c r="V56" s="1311"/>
      <c r="W56" s="1311"/>
      <c r="X56" s="1311"/>
      <c r="Y56" s="1311"/>
      <c r="Z56" s="1311"/>
      <c r="AA56" s="1311"/>
      <c r="AB56" s="1311"/>
      <c r="AC56" s="1311"/>
      <c r="AD56" s="1311"/>
      <c r="AE56" s="1311"/>
      <c r="AF56" s="1311"/>
      <c r="AG56" s="1311"/>
      <c r="AH56" s="1311"/>
      <c r="AI56" s="1311"/>
      <c r="AJ56" s="1311"/>
      <c r="AK56" s="1311"/>
      <c r="AL56" s="1311"/>
      <c r="AM56" s="1311"/>
      <c r="AN56" s="1311"/>
      <c r="AO56" s="1311"/>
      <c r="AP56" s="1311"/>
      <c r="AQ56" s="1311"/>
      <c r="AR56" s="1311"/>
      <c r="AS56" s="1311"/>
      <c r="AT56" s="1311"/>
      <c r="AU56" s="1312"/>
      <c r="AW56" s="436"/>
      <c r="AX56" s="436" t="str">
        <f t="shared" si="3"/>
        <v>Добавить группу потребителей</v>
      </c>
      <c r="AY56" s="436"/>
      <c r="AZ56" s="436"/>
      <c r="BA56" s="447">
        <v>1</v>
      </c>
    </row>
    <row r="57" spans="1:53" s="1564" customFormat="1" ht="1.1499999999999999" customHeight="1">
      <c r="A57" s="1266" t="s">
        <v>219</v>
      </c>
      <c r="B57" s="1266" t="s">
        <v>220</v>
      </c>
      <c r="C57" s="1266" t="s">
        <v>221</v>
      </c>
      <c r="D57" s="1266" t="s">
        <v>222</v>
      </c>
      <c r="E57" s="2507"/>
      <c r="F57" s="2507"/>
      <c r="G57" s="2507"/>
      <c r="H57" s="2506"/>
      <c r="I57" s="1266"/>
      <c r="J57" s="1266"/>
      <c r="K57" s="1266"/>
      <c r="L57" s="1269"/>
      <c r="M57" s="1238"/>
      <c r="N57" s="1238"/>
      <c r="O57" s="454"/>
      <c r="P57" s="316"/>
      <c r="Q57" s="1267"/>
      <c r="R57" s="1323"/>
      <c r="S57" s="1309"/>
      <c r="T57" s="1310"/>
      <c r="U57" s="1311"/>
      <c r="V57" s="1311"/>
      <c r="W57" s="1311"/>
      <c r="X57" s="1311"/>
      <c r="Y57" s="1311"/>
      <c r="Z57" s="1311"/>
      <c r="AA57" s="1311"/>
      <c r="AB57" s="1311"/>
      <c r="AC57" s="1311"/>
      <c r="AD57" s="1311"/>
      <c r="AE57" s="1311"/>
      <c r="AF57" s="1311"/>
      <c r="AG57" s="1311"/>
      <c r="AH57" s="1311"/>
      <c r="AI57" s="1311"/>
      <c r="AJ57" s="1311"/>
      <c r="AK57" s="1311"/>
      <c r="AL57" s="1311"/>
      <c r="AM57" s="1311"/>
      <c r="AN57" s="1311"/>
      <c r="AO57" s="1311"/>
      <c r="AP57" s="1311"/>
      <c r="AQ57" s="1311"/>
      <c r="AR57" s="1311"/>
      <c r="AS57" s="1311"/>
      <c r="AT57" s="1311"/>
      <c r="AU57" s="1312"/>
      <c r="AV57" s="447"/>
      <c r="AW57" s="436"/>
      <c r="AX57" s="436" t="str">
        <f t="shared" si="3"/>
        <v/>
      </c>
      <c r="AY57" s="436"/>
      <c r="AZ57" s="436"/>
      <c r="BA57" s="432">
        <v>1</v>
      </c>
    </row>
    <row r="58" spans="1:53" s="1565" customFormat="1" ht="1.1499999999999999" customHeight="1">
      <c r="A58" s="1266" t="s">
        <v>219</v>
      </c>
      <c r="B58" s="1266" t="s">
        <v>220</v>
      </c>
      <c r="C58" s="1266" t="s">
        <v>221</v>
      </c>
      <c r="D58" s="1237"/>
      <c r="E58" s="2507"/>
      <c r="F58" s="2507"/>
      <c r="G58" s="2506"/>
      <c r="H58" s="1237"/>
      <c r="I58" s="1237"/>
      <c r="J58" s="1237"/>
      <c r="K58" s="1237"/>
      <c r="L58" s="1262"/>
      <c r="M58" s="1238"/>
      <c r="N58" s="1238"/>
      <c r="P58" s="1239"/>
      <c r="Q58" s="1240"/>
      <c r="R58" s="1239"/>
      <c r="S58" s="1245"/>
      <c r="T58" s="1248" t="s">
        <v>433</v>
      </c>
      <c r="U58" s="1247"/>
      <c r="V58" s="1247"/>
      <c r="W58" s="1247"/>
      <c r="X58" s="1247"/>
      <c r="Y58" s="1247"/>
      <c r="Z58" s="1247"/>
      <c r="AA58" s="1247"/>
      <c r="AB58" s="1247"/>
      <c r="AC58" s="1247"/>
      <c r="AD58" s="1247"/>
      <c r="AE58" s="1247"/>
      <c r="AF58" s="1247"/>
      <c r="AG58" s="1247"/>
      <c r="AH58" s="1247"/>
      <c r="AI58" s="1247"/>
      <c r="AJ58" s="1247"/>
      <c r="AK58" s="1247"/>
      <c r="AL58" s="1247"/>
      <c r="AM58" s="1247"/>
      <c r="AN58" s="1247"/>
      <c r="AO58" s="1247"/>
      <c r="AP58" s="1247"/>
      <c r="AQ58" s="1247"/>
      <c r="AR58" s="1247"/>
      <c r="AS58" s="1247"/>
      <c r="AT58" s="1247"/>
      <c r="AU58" s="1247"/>
      <c r="AW58" s="718"/>
      <c r="AX58" s="718" t="str">
        <f t="shared" si="3"/>
        <v>Добавить источник для дифференциации</v>
      </c>
      <c r="AY58" s="718"/>
      <c r="AZ58" s="718"/>
      <c r="BA58" s="454">
        <v>1</v>
      </c>
    </row>
    <row r="59" spans="1:53" s="1565" customFormat="1" ht="1.1499999999999999" customHeight="1">
      <c r="A59" s="1266" t="s">
        <v>219</v>
      </c>
      <c r="B59" s="1266" t="s">
        <v>220</v>
      </c>
      <c r="C59" s="1237"/>
      <c r="D59" s="1237"/>
      <c r="E59" s="2507"/>
      <c r="F59" s="2506"/>
      <c r="G59" s="1237"/>
      <c r="H59" s="1237"/>
      <c r="I59" s="1237"/>
      <c r="J59" s="1237"/>
      <c r="K59" s="1237"/>
      <c r="L59" s="1262"/>
      <c r="M59" s="1244"/>
      <c r="N59" s="1244"/>
      <c r="P59" s="1239"/>
      <c r="Q59" s="1240"/>
      <c r="R59" s="1239"/>
      <c r="S59" s="1245"/>
      <c r="T59" s="1248" t="s">
        <v>434</v>
      </c>
      <c r="U59" s="1247"/>
      <c r="V59" s="1247"/>
      <c r="W59" s="1247"/>
      <c r="X59" s="1247"/>
      <c r="Y59" s="1247"/>
      <c r="Z59" s="1247"/>
      <c r="AA59" s="1247"/>
      <c r="AB59" s="1247"/>
      <c r="AC59" s="1247"/>
      <c r="AD59" s="1247"/>
      <c r="AE59" s="1247"/>
      <c r="AF59" s="1247"/>
      <c r="AG59" s="1247"/>
      <c r="AH59" s="1247"/>
      <c r="AI59" s="1247"/>
      <c r="AJ59" s="1247"/>
      <c r="AK59" s="1247"/>
      <c r="AL59" s="1247"/>
      <c r="AM59" s="1247"/>
      <c r="AN59" s="1247"/>
      <c r="AO59" s="1247"/>
      <c r="AP59" s="1247"/>
      <c r="AQ59" s="1247"/>
      <c r="AR59" s="1247"/>
      <c r="AS59" s="1247"/>
      <c r="AT59" s="1247"/>
      <c r="AU59" s="1247"/>
      <c r="AW59" s="718"/>
      <c r="AX59" s="718" t="str">
        <f t="shared" si="3"/>
        <v>Добавить централизованную систему для дифференциации</v>
      </c>
      <c r="AY59" s="718"/>
      <c r="AZ59" s="718"/>
      <c r="BA59" s="454">
        <v>1</v>
      </c>
    </row>
    <row r="60" spans="1:53" s="1565" customFormat="1" ht="1.1499999999999999" customHeight="1">
      <c r="A60" s="1266" t="s">
        <v>219</v>
      </c>
      <c r="B60" s="1266"/>
      <c r="C60" s="1266"/>
      <c r="D60" s="1266"/>
      <c r="E60" s="2507"/>
      <c r="F60" s="1266"/>
      <c r="G60" s="1266"/>
      <c r="H60" s="1266"/>
      <c r="I60" s="1266"/>
      <c r="J60" s="1266"/>
      <c r="K60" s="1266"/>
      <c r="L60" s="1269"/>
      <c r="M60" s="1244"/>
      <c r="N60" s="1244"/>
      <c r="O60" s="454"/>
      <c r="P60" s="316"/>
      <c r="Q60" s="1267"/>
      <c r="R60" s="316"/>
      <c r="S60" s="1245"/>
      <c r="T60" s="1248" t="s">
        <v>435</v>
      </c>
      <c r="U60" s="1247"/>
      <c r="V60" s="1247"/>
      <c r="W60" s="1247"/>
      <c r="X60" s="1247"/>
      <c r="Y60" s="1247"/>
      <c r="Z60" s="1247"/>
      <c r="AA60" s="1247"/>
      <c r="AB60" s="1247"/>
      <c r="AC60" s="1247"/>
      <c r="AD60" s="1247"/>
      <c r="AE60" s="1247"/>
      <c r="AF60" s="1247"/>
      <c r="AG60" s="1247"/>
      <c r="AH60" s="1247"/>
      <c r="AI60" s="1247"/>
      <c r="AJ60" s="1247"/>
      <c r="AK60" s="1247"/>
      <c r="AL60" s="1247"/>
      <c r="AM60" s="1247"/>
      <c r="AN60" s="1247"/>
      <c r="AO60" s="1247"/>
      <c r="AP60" s="1247"/>
      <c r="AQ60" s="1247"/>
      <c r="AR60" s="1247"/>
      <c r="AS60" s="1247"/>
      <c r="AT60" s="1247"/>
      <c r="AU60" s="1247"/>
      <c r="AW60" s="436"/>
      <c r="AX60" s="436" t="str">
        <f t="shared" si="3"/>
        <v>Добавить территорию для дифференциации</v>
      </c>
      <c r="AY60" s="436"/>
      <c r="AZ60" s="436"/>
      <c r="BA60" s="447">
        <v>1</v>
      </c>
    </row>
    <row r="61" spans="1:53" s="1565" customFormat="1" ht="1.1499999999999999" customHeight="1">
      <c r="A61" s="1266" t="s">
        <v>219</v>
      </c>
      <c r="B61" s="1266"/>
      <c r="C61" s="1266"/>
      <c r="D61" s="1266"/>
      <c r="E61" s="2506"/>
      <c r="F61" s="1266"/>
      <c r="G61" s="1266"/>
      <c r="H61" s="1266"/>
      <c r="I61" s="1266"/>
      <c r="J61" s="1266"/>
      <c r="K61" s="1266"/>
      <c r="L61" s="1269"/>
      <c r="M61" s="1244"/>
      <c r="N61" s="1244"/>
      <c r="O61" s="454"/>
      <c r="P61" s="316"/>
      <c r="Q61" s="1267"/>
      <c r="R61" s="316"/>
      <c r="S61" s="1245"/>
      <c r="T61" s="1248" t="s">
        <v>435</v>
      </c>
      <c r="U61" s="1247"/>
      <c r="V61" s="1247"/>
      <c r="W61" s="1247"/>
      <c r="X61" s="1247"/>
      <c r="Y61" s="1247"/>
      <c r="Z61" s="1247"/>
      <c r="AA61" s="1247"/>
      <c r="AB61" s="1247"/>
      <c r="AC61" s="1247"/>
      <c r="AD61" s="1247"/>
      <c r="AE61" s="1247"/>
      <c r="AF61" s="1247"/>
      <c r="AG61" s="1247"/>
      <c r="AH61" s="1247"/>
      <c r="AI61" s="1247"/>
      <c r="AJ61" s="1247"/>
      <c r="AK61" s="1247"/>
      <c r="AL61" s="1247"/>
      <c r="AM61" s="1247"/>
      <c r="AN61" s="1247"/>
      <c r="AO61" s="1247"/>
      <c r="AP61" s="1247"/>
      <c r="AQ61" s="1247"/>
      <c r="AR61" s="1247"/>
      <c r="AS61" s="1247"/>
      <c r="AT61" s="1247"/>
      <c r="AU61" s="1247"/>
      <c r="AW61" s="436"/>
      <c r="AX61" s="436" t="str">
        <f t="shared" si="3"/>
        <v>Добавить территорию для дифференциации</v>
      </c>
      <c r="AY61" s="436"/>
      <c r="AZ61" s="436"/>
      <c r="BA61" s="447">
        <v>1</v>
      </c>
    </row>
    <row r="62" spans="1:53" s="1565" customFormat="1" ht="1.1499999999999999" customHeight="1">
      <c r="A62" s="1237"/>
      <c r="B62" s="1237"/>
      <c r="C62" s="1237"/>
      <c r="D62" s="1237"/>
      <c r="E62" s="1266"/>
      <c r="F62" s="1237"/>
      <c r="G62" s="1237"/>
      <c r="H62" s="1237"/>
      <c r="I62" s="1237"/>
      <c r="J62" s="1237"/>
      <c r="K62" s="1237"/>
      <c r="L62" s="1262"/>
      <c r="M62" s="1244"/>
      <c r="N62" s="1244"/>
      <c r="P62" s="1239"/>
      <c r="Q62" s="1240"/>
      <c r="R62" s="1239"/>
      <c r="S62" s="1245"/>
      <c r="T62" s="1248" t="s">
        <v>463</v>
      </c>
      <c r="U62" s="1247"/>
      <c r="V62" s="1247"/>
      <c r="W62" s="1247"/>
      <c r="X62" s="1247"/>
      <c r="Y62" s="1247"/>
      <c r="Z62" s="1247"/>
      <c r="AA62" s="1247"/>
      <c r="AB62" s="1247"/>
      <c r="AC62" s="1247"/>
      <c r="AD62" s="1247"/>
      <c r="AE62" s="1247"/>
      <c r="AF62" s="1247"/>
      <c r="AG62" s="1247"/>
      <c r="AH62" s="1247"/>
      <c r="AI62" s="1247"/>
      <c r="AJ62" s="1247"/>
      <c r="AK62" s="1247"/>
      <c r="AL62" s="1247"/>
      <c r="AM62" s="1247"/>
      <c r="AN62" s="1247"/>
      <c r="AO62" s="1247"/>
      <c r="AP62" s="1247"/>
      <c r="AQ62" s="1247"/>
      <c r="AR62" s="1247"/>
      <c r="AS62" s="1247"/>
      <c r="AT62" s="1247"/>
      <c r="AU62" s="1247"/>
      <c r="AW62" s="718"/>
      <c r="AX62" s="718" t="str">
        <f t="shared" si="3"/>
        <v>Добавить наименование тарифа</v>
      </c>
      <c r="AY62" s="718"/>
      <c r="AZ62" s="718"/>
      <c r="BA62" s="454">
        <v>1</v>
      </c>
    </row>
    <row r="63" spans="1:53" ht="11.45" customHeight="1">
      <c r="M63" s="1083"/>
      <c r="N63" s="1083"/>
      <c r="O63" s="473"/>
      <c r="P63" s="1083"/>
      <c r="Q63" s="1083"/>
      <c r="R63" s="1078"/>
      <c r="S63" s="1078"/>
      <c r="AV63" s="1078"/>
      <c r="AW63" s="1078"/>
      <c r="AX63" s="1078"/>
      <c r="AY63" s="1078"/>
      <c r="AZ63" s="1078"/>
      <c r="BA63" s="1078">
        <v>11</v>
      </c>
    </row>
    <row r="64" spans="1:53" ht="19.899999999999999" customHeight="1">
      <c r="O64" s="473"/>
      <c r="S64" s="1176"/>
      <c r="T64" s="2526"/>
      <c r="U64" s="2526"/>
      <c r="V64" s="2526"/>
      <c r="W64" s="2526"/>
      <c r="X64" s="2526"/>
      <c r="Y64" s="2526"/>
      <c r="Z64" s="2526"/>
      <c r="AA64" s="2526"/>
      <c r="AB64" s="2526"/>
      <c r="AC64" s="2526"/>
      <c r="AD64" s="2526"/>
      <c r="AE64" s="2526"/>
      <c r="AF64" s="2526"/>
      <c r="AG64" s="2526"/>
      <c r="AH64" s="2526"/>
      <c r="AI64" s="2526"/>
      <c r="AJ64" s="2526"/>
      <c r="AK64" s="2526"/>
      <c r="AL64" s="2526"/>
      <c r="AM64" s="2526"/>
      <c r="AN64" s="2526"/>
      <c r="AO64" s="2526"/>
      <c r="AP64" s="2526"/>
      <c r="AQ64" s="2526"/>
      <c r="AR64" s="2526"/>
      <c r="AS64" s="2526"/>
      <c r="AT64" s="2526"/>
      <c r="AU64" s="2526"/>
      <c r="BA64" s="1078">
        <v>19</v>
      </c>
    </row>
    <row r="65" spans="1:53" ht="21" customHeight="1">
      <c r="O65" s="473"/>
      <c r="T65" s="2526"/>
      <c r="U65" s="2526"/>
      <c r="V65" s="2526"/>
      <c r="W65" s="2526"/>
      <c r="X65" s="2526"/>
      <c r="Y65" s="2526"/>
      <c r="Z65" s="2526"/>
      <c r="AA65" s="2526"/>
      <c r="AB65" s="2526"/>
      <c r="AC65" s="2526"/>
      <c r="AD65" s="2526"/>
      <c r="AE65" s="2526"/>
      <c r="AF65" s="2526"/>
      <c r="AG65" s="2526"/>
      <c r="AH65" s="2526"/>
      <c r="AI65" s="2526"/>
      <c r="AJ65" s="2526"/>
      <c r="AK65" s="2526"/>
      <c r="AL65" s="2526"/>
      <c r="AM65" s="2526"/>
      <c r="AN65" s="2526"/>
      <c r="AO65" s="2526"/>
      <c r="AP65" s="2526"/>
      <c r="AQ65" s="2526"/>
      <c r="AR65" s="2526"/>
      <c r="AS65" s="2526"/>
      <c r="AT65" s="2526"/>
      <c r="AU65" s="2526"/>
      <c r="BA65" s="1078">
        <v>20</v>
      </c>
    </row>
    <row r="66" spans="1:53" ht="14.65" customHeight="1">
      <c r="O66" s="473"/>
      <c r="T66" s="1256"/>
      <c r="U66" s="1256"/>
      <c r="V66" s="1256"/>
      <c r="W66" s="1256"/>
      <c r="X66" s="1256"/>
      <c r="Y66" s="1256"/>
      <c r="Z66" s="1256"/>
      <c r="AA66" s="1256"/>
      <c r="AB66" s="1256"/>
      <c r="AC66" s="1256"/>
      <c r="AD66" s="1256"/>
      <c r="AE66" s="1256"/>
      <c r="AF66" s="1256"/>
      <c r="AG66" s="1256"/>
      <c r="AH66" s="1256"/>
      <c r="AI66" s="1256"/>
      <c r="AJ66" s="1256"/>
      <c r="AK66" s="1256"/>
      <c r="AL66" s="1256"/>
      <c r="AM66" s="1256"/>
      <c r="AN66" s="1256"/>
      <c r="AO66" s="1256"/>
      <c r="AP66" s="1256"/>
      <c r="AQ66" s="1256"/>
      <c r="AR66" s="1256"/>
      <c r="AS66" s="1256"/>
      <c r="AT66" s="1256"/>
      <c r="AU66" s="1256"/>
      <c r="BA66" s="1078">
        <v>14</v>
      </c>
    </row>
    <row r="67" spans="1:53" ht="19.899999999999999" customHeight="1">
      <c r="O67" s="473"/>
      <c r="T67" s="2526"/>
      <c r="U67" s="2526"/>
      <c r="V67" s="2526"/>
      <c r="W67" s="2526"/>
      <c r="X67" s="2526"/>
      <c r="Y67" s="2526"/>
      <c r="Z67" s="2526"/>
      <c r="AA67" s="2526"/>
      <c r="AB67" s="2526"/>
      <c r="AC67" s="2526"/>
      <c r="AD67" s="2526"/>
      <c r="AE67" s="2526"/>
      <c r="AF67" s="2526"/>
      <c r="AG67" s="2526"/>
      <c r="AH67" s="2526"/>
      <c r="AI67" s="2526"/>
      <c r="AJ67" s="2526"/>
      <c r="AK67" s="2526"/>
      <c r="AL67" s="2526"/>
      <c r="AM67" s="2526"/>
      <c r="AN67" s="2526"/>
      <c r="AO67" s="2526"/>
      <c r="AP67" s="2526"/>
      <c r="AQ67" s="2526"/>
      <c r="AR67" s="2526"/>
      <c r="AS67" s="2526"/>
      <c r="AT67" s="2526"/>
      <c r="AU67" s="2526"/>
      <c r="BA67" s="1078">
        <v>19</v>
      </c>
    </row>
    <row r="68" spans="1:53" ht="16.899999999999999" customHeight="1">
      <c r="O68" s="473"/>
      <c r="T68" s="2526"/>
      <c r="U68" s="2526"/>
      <c r="V68" s="2526"/>
      <c r="W68" s="2526"/>
      <c r="X68" s="2526"/>
      <c r="Y68" s="2526"/>
      <c r="Z68" s="2526"/>
      <c r="AA68" s="2526"/>
      <c r="AB68" s="2526"/>
      <c r="AC68" s="2526"/>
      <c r="AD68" s="2526"/>
      <c r="AE68" s="2526"/>
      <c r="AF68" s="2526"/>
      <c r="AG68" s="2526"/>
      <c r="AH68" s="2526"/>
      <c r="AI68" s="2526"/>
      <c r="AJ68" s="2526"/>
      <c r="AK68" s="2526"/>
      <c r="AL68" s="2526"/>
      <c r="AM68" s="2526"/>
      <c r="AN68" s="2526"/>
      <c r="AO68" s="2526"/>
      <c r="AP68" s="2526"/>
      <c r="AQ68" s="2526"/>
      <c r="AR68" s="2526"/>
      <c r="AS68" s="2526"/>
      <c r="AT68" s="2526"/>
      <c r="AU68" s="2526"/>
      <c r="BA68" s="1078">
        <v>16</v>
      </c>
    </row>
    <row r="69" spans="1:53" ht="14.65" customHeight="1">
      <c r="O69" s="473"/>
      <c r="BA69" s="1078">
        <v>14</v>
      </c>
    </row>
    <row r="70" spans="1:53" ht="22.5" hidden="1" customHeight="1">
      <c r="A70" s="1083" t="s">
        <v>83</v>
      </c>
      <c r="B70" s="1083">
        <v>0</v>
      </c>
      <c r="C70" s="1083">
        <v>0</v>
      </c>
      <c r="D70" s="1083">
        <v>0</v>
      </c>
      <c r="E70" s="1083">
        <v>0</v>
      </c>
      <c r="F70" s="1083">
        <v>0</v>
      </c>
      <c r="G70" s="1083">
        <v>0</v>
      </c>
      <c r="H70" s="1083">
        <v>0</v>
      </c>
      <c r="I70" s="1083">
        <v>0</v>
      </c>
      <c r="J70" s="1083">
        <v>0</v>
      </c>
      <c r="K70" s="1083">
        <v>0</v>
      </c>
      <c r="L70" s="1252">
        <v>0</v>
      </c>
      <c r="M70" s="1285">
        <v>0</v>
      </c>
      <c r="N70" s="1285">
        <v>0</v>
      </c>
      <c r="O70" s="1285">
        <v>0</v>
      </c>
      <c r="P70" s="1285">
        <v>3</v>
      </c>
      <c r="Q70" s="1294">
        <v>3</v>
      </c>
      <c r="R70" s="281">
        <v>3</v>
      </c>
      <c r="S70" s="517">
        <v>12</v>
      </c>
      <c r="T70" s="1078">
        <v>31</v>
      </c>
      <c r="U70" s="1078">
        <v>0</v>
      </c>
      <c r="V70" s="1078">
        <v>0</v>
      </c>
      <c r="W70" s="1078">
        <v>0</v>
      </c>
      <c r="X70" s="1078">
        <v>0</v>
      </c>
      <c r="Y70" s="1078">
        <v>0</v>
      </c>
      <c r="Z70" s="1078">
        <v>0</v>
      </c>
      <c r="AA70" s="1078">
        <v>0</v>
      </c>
      <c r="AB70" s="1078">
        <v>5</v>
      </c>
      <c r="AC70" s="1078">
        <v>3</v>
      </c>
      <c r="AD70" s="1078">
        <v>3</v>
      </c>
      <c r="AE70" s="1078">
        <v>24</v>
      </c>
      <c r="AF70" s="1078">
        <v>3</v>
      </c>
      <c r="AG70" s="1078">
        <v>3</v>
      </c>
      <c r="AH70" s="1078">
        <v>3</v>
      </c>
      <c r="AI70" s="1078">
        <v>24</v>
      </c>
      <c r="AJ70" s="1078">
        <v>3</v>
      </c>
      <c r="AK70" s="1078">
        <v>3</v>
      </c>
      <c r="AL70" s="1078">
        <v>3</v>
      </c>
      <c r="AM70" s="1078">
        <v>18</v>
      </c>
      <c r="AN70" s="1078">
        <v>21</v>
      </c>
      <c r="AO70" s="1078">
        <v>21</v>
      </c>
      <c r="AP70" s="1078">
        <v>11</v>
      </c>
      <c r="AQ70" s="1078">
        <v>3</v>
      </c>
      <c r="AR70" s="1078">
        <v>11</v>
      </c>
      <c r="AS70" s="1078">
        <v>8</v>
      </c>
      <c r="AT70" s="1078">
        <v>4</v>
      </c>
      <c r="AU70" s="1078">
        <v>115</v>
      </c>
      <c r="AV70" s="447">
        <v>10</v>
      </c>
      <c r="AW70" s="447">
        <v>10</v>
      </c>
      <c r="AX70" s="447">
        <v>10</v>
      </c>
      <c r="AY70" s="447">
        <v>10</v>
      </c>
      <c r="AZ70" s="447">
        <v>10</v>
      </c>
      <c r="BA70" s="1078">
        <v>23</v>
      </c>
    </row>
  </sheetData>
  <sheetProtection formatColumns="0" formatRows="0" insertRows="0" deleteColumns="0" deleteRows="0" sort="0" autoFilter="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58" hidden="1" customWidth="1"/>
    <col min="4" max="4" width="11.85546875" style="1558" hidden="1" customWidth="1"/>
    <col min="5" max="11" width="10.140625" style="1558" hidden="1" customWidth="1"/>
    <col min="12" max="12" width="10.140625" style="2015" hidden="1" customWidth="1"/>
    <col min="13" max="15" width="10.140625" style="2032" hidden="1" customWidth="1"/>
    <col min="16" max="16" width="3" style="1696" customWidth="1"/>
    <col min="17" max="17" width="3" style="1294" customWidth="1"/>
    <col min="18" max="18" width="3" style="281" customWidth="1"/>
    <col min="19" max="19" width="12" style="2033" customWidth="1"/>
    <col min="20" max="20" width="31" style="1558" customWidth="1"/>
    <col min="21" max="21" width="0.140625" style="1558" customWidth="1"/>
    <col min="22" max="23" width="21.7109375" style="1558" hidden="1" customWidth="1"/>
    <col min="24" max="24" width="11.7109375" style="1558" hidden="1" customWidth="1"/>
    <col min="25" max="25" width="3.7109375" style="1558" hidden="1" customWidth="1"/>
    <col min="26" max="26" width="11.7109375" style="1558" hidden="1" customWidth="1"/>
    <col min="27" max="27" width="8.5703125" style="1558" hidden="1" customWidth="1"/>
    <col min="28" max="28" width="27" style="1558" customWidth="1"/>
    <col min="29" max="29" width="24.5703125" style="1558" customWidth="1"/>
    <col min="30" max="31" width="21" style="1558" customWidth="1"/>
    <col min="32" max="32" width="11" style="1558" customWidth="1"/>
    <col min="33" max="33" width="3.7109375" style="1558" customWidth="1"/>
    <col min="34" max="34" width="11" style="1558" customWidth="1"/>
    <col min="35" max="35" width="8.5703125" style="1558" hidden="1" customWidth="1"/>
    <col min="36" max="36" width="4" style="1558" customWidth="1"/>
    <col min="37" max="37" width="115" style="1558" customWidth="1"/>
    <col min="38" max="42" width="10" style="1565" customWidth="1"/>
    <col min="43" max="43" width="10.5703125" style="1558" hidden="1"/>
  </cols>
  <sheetData>
    <row r="1" spans="1:43" ht="0.75" hidden="1" customHeight="1">
      <c r="AQ1" s="1554" t="s">
        <v>14</v>
      </c>
    </row>
    <row r="2" spans="1:43" ht="21" hidden="1" customHeight="1">
      <c r="A2" s="1190"/>
      <c r="B2" s="1190"/>
      <c r="C2" s="1190"/>
      <c r="D2" s="1190"/>
      <c r="E2" s="2530">
        <v>1</v>
      </c>
      <c r="F2" s="1190"/>
      <c r="G2" s="1190"/>
      <c r="H2" s="1190"/>
      <c r="I2" s="1190"/>
      <c r="J2" s="1190"/>
      <c r="K2" s="1190"/>
      <c r="L2" s="1233"/>
      <c r="M2" s="1533"/>
      <c r="N2" s="1533"/>
      <c r="O2" s="1533"/>
      <c r="P2" s="1332"/>
      <c r="Q2" s="802"/>
      <c r="R2" s="291"/>
      <c r="S2" s="1872" t="e">
        <f>INDEX(PT_DIFFERENTIATION_NUM_NTAR,MATCH(A2,PT_DIFFERENTIATION_NTAR_ID,0))</f>
        <v>#N/A</v>
      </c>
      <c r="T2" s="1448" t="s">
        <v>144</v>
      </c>
      <c r="U2" s="237"/>
      <c r="V2" s="2493"/>
      <c r="W2" s="2493"/>
      <c r="X2" s="2493"/>
      <c r="Y2" s="2493"/>
      <c r="Z2" s="2493"/>
      <c r="AA2" s="2494"/>
      <c r="AB2" s="1866"/>
      <c r="AC2" s="2493" t="e">
        <f>INDEX(PT_DIFFERENTIATION_NTAR,MATCH(A2,PT_DIFFERENTIATION_NTAR_ID,0))</f>
        <v>#N/A</v>
      </c>
      <c r="AD2" s="2493"/>
      <c r="AE2" s="2493"/>
      <c r="AF2" s="2493"/>
      <c r="AG2" s="2493"/>
      <c r="AH2" s="2493"/>
      <c r="AI2" s="2493"/>
      <c r="AJ2" s="2494"/>
      <c r="AK2" s="1181" t="s">
        <v>415</v>
      </c>
      <c r="AM2" s="1547"/>
      <c r="AN2" s="1547" t="str">
        <f t="shared" ref="AN2:AN14" si="0">IF(T2="","",T2)</f>
        <v>Наименование тарифа</v>
      </c>
      <c r="AO2" s="1547"/>
      <c r="AP2" s="1547"/>
      <c r="AQ2" s="1554">
        <v>0</v>
      </c>
    </row>
    <row r="3" spans="1:43" ht="21" hidden="1" customHeight="1">
      <c r="A3" s="1190"/>
      <c r="B3" s="1190"/>
      <c r="C3" s="1190"/>
      <c r="D3" s="1190"/>
      <c r="E3" s="2531"/>
      <c r="F3" s="2530">
        <v>1</v>
      </c>
      <c r="G3" s="1190"/>
      <c r="H3" s="1190"/>
      <c r="I3" s="1190"/>
      <c r="J3" s="1190"/>
      <c r="K3" s="1190"/>
      <c r="L3" s="1233"/>
      <c r="M3" s="1533"/>
      <c r="N3" s="1533"/>
      <c r="O3" s="1533"/>
      <c r="P3" s="1883"/>
      <c r="Q3" s="1334"/>
      <c r="R3" s="289"/>
      <c r="S3" s="1872" t="e">
        <f>INDEX(PT_DIFFERENTIATION_NUM_TER,MATCH(B3,PT_DIFFERENTIATION_TER_ID,0))</f>
        <v>#N/A</v>
      </c>
      <c r="T3" s="1445" t="s">
        <v>416</v>
      </c>
      <c r="U3" s="237"/>
      <c r="V3" s="2493"/>
      <c r="W3" s="2493"/>
      <c r="X3" s="2493"/>
      <c r="Y3" s="2493"/>
      <c r="Z3" s="2493"/>
      <c r="AA3" s="2494"/>
      <c r="AB3" s="1866"/>
      <c r="AC3" s="2493" t="e">
        <f>INDEX(PT_DIFFERENTIATION_TER,MATCH(B3,PT_DIFFERENTIATION_TER_ID,0))</f>
        <v>#N/A</v>
      </c>
      <c r="AD3" s="2493"/>
      <c r="AE3" s="2493"/>
      <c r="AF3" s="2493"/>
      <c r="AG3" s="2493"/>
      <c r="AH3" s="2493"/>
      <c r="AI3" s="2493"/>
      <c r="AJ3" s="2494"/>
      <c r="AK3" s="1181" t="s">
        <v>417</v>
      </c>
      <c r="AM3" s="1547"/>
      <c r="AN3" s="1547" t="str">
        <f t="shared" si="0"/>
        <v>Территория действия тарифа</v>
      </c>
      <c r="AO3" s="1547"/>
      <c r="AP3" s="1547"/>
      <c r="AQ3" s="1554">
        <v>0</v>
      </c>
    </row>
    <row r="4" spans="1:43" ht="22.5" hidden="1" customHeight="1">
      <c r="A4" s="1190"/>
      <c r="B4" s="1190"/>
      <c r="C4" s="1190"/>
      <c r="D4" s="1190"/>
      <c r="E4" s="2531"/>
      <c r="F4" s="2531"/>
      <c r="G4" s="2530">
        <v>1</v>
      </c>
      <c r="H4" s="1190"/>
      <c r="I4" s="1190"/>
      <c r="J4" s="1190"/>
      <c r="K4" s="1190"/>
      <c r="L4" s="1233"/>
      <c r="M4" s="1533"/>
      <c r="N4" s="1533"/>
      <c r="O4" s="1533"/>
      <c r="P4" s="1335"/>
      <c r="Q4" s="1334"/>
      <c r="R4" s="289"/>
      <c r="S4" s="1872" t="e">
        <f>INDEX(PT_DIFFERENTIATION_NUM_CS,MATCH(C4,PT_DIFFERENTIATION_CS_ID,0))</f>
        <v>#N/A</v>
      </c>
      <c r="T4" s="246" t="s">
        <v>418</v>
      </c>
      <c r="U4" s="237"/>
      <c r="V4" s="2493"/>
      <c r="W4" s="2493"/>
      <c r="X4" s="2493"/>
      <c r="Y4" s="2493"/>
      <c r="Z4" s="2493"/>
      <c r="AA4" s="2494"/>
      <c r="AB4" s="1866"/>
      <c r="AC4" s="2493" t="e">
        <f>INDEX(PT_DIFFERENTIATION_CS,MATCH(C4,PT_DIFFERENTIATION_CS_ID,0))</f>
        <v>#N/A</v>
      </c>
      <c r="AD4" s="2493"/>
      <c r="AE4" s="2493"/>
      <c r="AF4" s="2493"/>
      <c r="AG4" s="2493"/>
      <c r="AH4" s="2493"/>
      <c r="AI4" s="2493"/>
      <c r="AJ4" s="2494"/>
      <c r="AK4" s="1181" t="s">
        <v>419</v>
      </c>
      <c r="AM4" s="1547"/>
      <c r="AN4" s="1547" t="str">
        <f t="shared" si="0"/>
        <v xml:space="preserve">Наименование системы теплоснабжения </v>
      </c>
      <c r="AO4" s="1547"/>
      <c r="AP4" s="1547"/>
      <c r="AQ4" s="1554">
        <v>0</v>
      </c>
    </row>
    <row r="5" spans="1:43" ht="21" hidden="1" customHeight="1">
      <c r="A5" s="1190"/>
      <c r="B5" s="1190"/>
      <c r="C5" s="1190"/>
      <c r="D5" s="1190"/>
      <c r="E5" s="2531"/>
      <c r="F5" s="2531"/>
      <c r="G5" s="2531"/>
      <c r="H5" s="2530">
        <v>1</v>
      </c>
      <c r="I5" s="1190"/>
      <c r="J5" s="1190"/>
      <c r="K5" s="1190"/>
      <c r="L5" s="1233"/>
      <c r="M5" s="1533"/>
      <c r="N5" s="1533"/>
      <c r="O5" s="1533"/>
      <c r="P5" s="1335"/>
      <c r="Q5" s="1334"/>
      <c r="R5" s="289"/>
      <c r="S5" s="1872" t="e">
        <f>INDEX(PT_DIFFERENTIATION_NUM_IST_TE,MATCH(D5,PT_DIFFERENTIATION_IST_TE_ID,0))</f>
        <v>#N/A</v>
      </c>
      <c r="T5" s="247" t="s">
        <v>420</v>
      </c>
      <c r="U5" s="237"/>
      <c r="V5" s="2493"/>
      <c r="W5" s="2493"/>
      <c r="X5" s="2493"/>
      <c r="Y5" s="2493"/>
      <c r="Z5" s="2493"/>
      <c r="AA5" s="2494"/>
      <c r="AB5" s="1866"/>
      <c r="AC5" s="2493" t="e">
        <f>INDEX(PT_DIFFERENTIATION_IST_TE,MATCH(D5,PT_DIFFERENTIATION_IST_TE_ID,0))</f>
        <v>#N/A</v>
      </c>
      <c r="AD5" s="2493"/>
      <c r="AE5" s="2493"/>
      <c r="AF5" s="2493"/>
      <c r="AG5" s="2493"/>
      <c r="AH5" s="2493"/>
      <c r="AI5" s="2493"/>
      <c r="AJ5" s="2494"/>
      <c r="AK5" s="1181" t="s">
        <v>421</v>
      </c>
      <c r="AM5" s="1547"/>
      <c r="AN5" s="1547" t="str">
        <f t="shared" si="0"/>
        <v xml:space="preserve">Источник тепловой энергии  </v>
      </c>
      <c r="AO5" s="1547"/>
      <c r="AP5" s="1547"/>
      <c r="AQ5" s="1554">
        <v>0</v>
      </c>
    </row>
    <row r="6" spans="1:43" s="1565" customFormat="1" ht="0.75" hidden="1" customHeight="1">
      <c r="A6" s="1298"/>
      <c r="B6" s="1298"/>
      <c r="C6" s="1298"/>
      <c r="D6" s="1298"/>
      <c r="E6" s="2531"/>
      <c r="F6" s="2531"/>
      <c r="G6" s="2531"/>
      <c r="H6" s="2531"/>
      <c r="I6" s="2371" t="e">
        <f>S5&amp;".1"</f>
        <v>#N/A</v>
      </c>
      <c r="J6" s="1298"/>
      <c r="K6" s="1298"/>
      <c r="L6" s="1304" t="s">
        <v>422</v>
      </c>
      <c r="M6" s="1169"/>
      <c r="N6" s="1169"/>
      <c r="O6" s="1169"/>
      <c r="P6" s="2505">
        <v>1</v>
      </c>
      <c r="Q6" s="1868"/>
      <c r="R6" s="292"/>
      <c r="S6" s="969"/>
      <c r="T6" s="1306"/>
      <c r="U6" s="1307"/>
      <c r="V6" s="2536"/>
      <c r="W6" s="2536"/>
      <c r="X6" s="2536"/>
      <c r="Y6" s="2536"/>
      <c r="Z6" s="2536"/>
      <c r="AA6" s="2537"/>
      <c r="AB6" s="1874"/>
      <c r="AC6" s="2536"/>
      <c r="AD6" s="2536"/>
      <c r="AE6" s="2536"/>
      <c r="AF6" s="2536"/>
      <c r="AG6" s="2536"/>
      <c r="AH6" s="2536"/>
      <c r="AI6" s="2536"/>
      <c r="AJ6" s="2537"/>
      <c r="AK6" s="1308"/>
      <c r="AM6" s="1547"/>
      <c r="AN6" s="1547" t="str">
        <f t="shared" si="0"/>
        <v/>
      </c>
      <c r="AO6" s="1547"/>
      <c r="AP6" s="1547"/>
      <c r="AQ6" s="1559">
        <v>0</v>
      </c>
    </row>
    <row r="7" spans="1:43" s="1565" customFormat="1" ht="0.75" hidden="1" customHeight="1">
      <c r="A7" s="1298"/>
      <c r="B7" s="1298"/>
      <c r="C7" s="1298"/>
      <c r="D7" s="1298"/>
      <c r="E7" s="2531"/>
      <c r="F7" s="2531"/>
      <c r="G7" s="2531"/>
      <c r="H7" s="2531"/>
      <c r="I7" s="2350"/>
      <c r="J7" s="2371" t="e">
        <f>S5&amp;".1"</f>
        <v>#N/A</v>
      </c>
      <c r="K7" s="1298"/>
      <c r="L7" s="1304"/>
      <c r="M7" s="1169"/>
      <c r="N7" s="1169"/>
      <c r="O7" s="1169"/>
      <c r="P7" s="2505"/>
      <c r="Q7" s="2505">
        <v>1</v>
      </c>
      <c r="R7" s="293"/>
      <c r="S7" s="969"/>
      <c r="T7" s="1322"/>
      <c r="U7" s="1307"/>
      <c r="V7" s="2536"/>
      <c r="W7" s="2536"/>
      <c r="X7" s="2536"/>
      <c r="Y7" s="2536"/>
      <c r="Z7" s="2536"/>
      <c r="AA7" s="2537"/>
      <c r="AB7" s="1874"/>
      <c r="AC7" s="2536"/>
      <c r="AD7" s="2536"/>
      <c r="AE7" s="2536"/>
      <c r="AF7" s="2536"/>
      <c r="AG7" s="2536"/>
      <c r="AH7" s="2536"/>
      <c r="AI7" s="2536"/>
      <c r="AJ7" s="2537"/>
      <c r="AK7" s="1308"/>
      <c r="AM7" s="1547"/>
      <c r="AN7" s="1547" t="str">
        <f t="shared" si="0"/>
        <v/>
      </c>
      <c r="AO7" s="1547"/>
      <c r="AP7" s="1547"/>
      <c r="AQ7" s="1559">
        <v>0</v>
      </c>
    </row>
    <row r="8" spans="1:43" ht="21" hidden="1" customHeight="1">
      <c r="A8" s="1190"/>
      <c r="B8" s="1190"/>
      <c r="C8" s="1190"/>
      <c r="D8" s="1190"/>
      <c r="E8" s="2531"/>
      <c r="F8" s="2531"/>
      <c r="G8" s="2531"/>
      <c r="H8" s="2531"/>
      <c r="I8" s="2350"/>
      <c r="J8" s="2350"/>
      <c r="K8" s="1905" t="e">
        <f>S5&amp;".1"</f>
        <v>#N/A</v>
      </c>
      <c r="L8" s="1233"/>
      <c r="P8" s="2505"/>
      <c r="Q8" s="2505"/>
      <c r="R8" s="1909">
        <v>1</v>
      </c>
      <c r="S8" s="1907" t="e">
        <f>$K8</f>
        <v>#N/A</v>
      </c>
      <c r="T8" s="1908"/>
      <c r="U8" s="237"/>
      <c r="V8" s="686"/>
      <c r="W8" s="1180"/>
      <c r="X8" s="1906"/>
      <c r="Y8" s="1904" t="s">
        <v>63</v>
      </c>
      <c r="Z8" s="1906"/>
      <c r="AA8" s="1904" t="s">
        <v>63</v>
      </c>
      <c r="AB8" s="1910"/>
      <c r="AC8" s="1911" t="s">
        <v>22</v>
      </c>
      <c r="AD8" s="686"/>
      <c r="AE8" s="1180"/>
      <c r="AF8" s="1869"/>
      <c r="AG8" s="1856" t="s">
        <v>63</v>
      </c>
      <c r="AH8" s="1869"/>
      <c r="AI8" s="1856" t="s">
        <v>63</v>
      </c>
      <c r="AJ8" s="1271"/>
      <c r="AK8" s="2501" t="s">
        <v>479</v>
      </c>
      <c r="AL8" s="1559" t="e">
        <f ca="1">STRCHECKDATE(#REF!)</f>
        <v>#NAME?</v>
      </c>
      <c r="AM8" s="1547"/>
      <c r="AN8" s="1547" t="str">
        <f t="shared" si="0"/>
        <v/>
      </c>
      <c r="AO8" s="1547"/>
      <c r="AP8" s="1547"/>
      <c r="AQ8" s="1554">
        <v>0</v>
      </c>
    </row>
    <row r="9" spans="1:43" ht="11.25" hidden="1" customHeight="1">
      <c r="A9" s="1190"/>
      <c r="B9" s="1190"/>
      <c r="C9" s="1190"/>
      <c r="D9" s="1190"/>
      <c r="E9" s="2531"/>
      <c r="F9" s="2531"/>
      <c r="G9" s="2531"/>
      <c r="H9" s="2531"/>
      <c r="I9" s="2350"/>
      <c r="J9" s="2371"/>
      <c r="K9" s="1190"/>
      <c r="L9" s="1233"/>
      <c r="P9" s="2505"/>
      <c r="Q9" s="2505"/>
      <c r="R9" s="292"/>
      <c r="S9" s="1201"/>
      <c r="T9" s="224" t="s">
        <v>483</v>
      </c>
      <c r="U9" s="536"/>
      <c r="V9" s="536"/>
      <c r="W9" s="536"/>
      <c r="X9" s="536"/>
      <c r="Y9" s="536"/>
      <c r="Z9" s="536"/>
      <c r="AA9" s="536"/>
      <c r="AB9" s="536"/>
      <c r="AC9" s="536"/>
      <c r="AD9" s="536"/>
      <c r="AE9" s="536"/>
      <c r="AF9" s="536"/>
      <c r="AG9" s="536"/>
      <c r="AH9" s="536"/>
      <c r="AI9" s="536"/>
      <c r="AJ9" s="261"/>
      <c r="AK9" s="2503"/>
      <c r="AM9" s="1547"/>
      <c r="AN9" s="1547" t="str">
        <f t="shared" si="0"/>
        <v>Добавить строку</v>
      </c>
      <c r="AO9" s="1547"/>
      <c r="AP9" s="1547"/>
      <c r="AQ9" s="1554">
        <v>0</v>
      </c>
    </row>
    <row r="10" spans="1:43" s="1565" customFormat="1" ht="0.75" hidden="1" customHeight="1">
      <c r="A10" s="1298"/>
      <c r="B10" s="1298"/>
      <c r="C10" s="1298"/>
      <c r="D10" s="1298"/>
      <c r="E10" s="2531"/>
      <c r="F10" s="2531"/>
      <c r="G10" s="2531"/>
      <c r="H10" s="2531"/>
      <c r="I10" s="2371"/>
      <c r="J10" s="1298"/>
      <c r="K10" s="1298"/>
      <c r="L10" s="1304"/>
      <c r="M10" s="1169"/>
      <c r="N10" s="1169"/>
      <c r="O10" s="1169"/>
      <c r="P10" s="2505"/>
      <c r="Q10" s="1868"/>
      <c r="R10" s="292"/>
      <c r="S10" s="1309"/>
      <c r="T10" s="1310"/>
      <c r="U10" s="1311"/>
      <c r="V10" s="1311"/>
      <c r="W10" s="1311"/>
      <c r="X10" s="1311"/>
      <c r="Y10" s="1311"/>
      <c r="Z10" s="1311"/>
      <c r="AA10" s="1311"/>
      <c r="AB10" s="1311"/>
      <c r="AC10" s="1311"/>
      <c r="AD10" s="1311"/>
      <c r="AE10" s="1311"/>
      <c r="AF10" s="1311"/>
      <c r="AG10" s="1311"/>
      <c r="AH10" s="1311"/>
      <c r="AI10" s="1311"/>
      <c r="AJ10" s="1311"/>
      <c r="AK10" s="1312"/>
      <c r="AM10" s="1547"/>
      <c r="AN10" s="1547" t="str">
        <f t="shared" si="0"/>
        <v/>
      </c>
      <c r="AO10" s="1547"/>
      <c r="AP10" s="1547"/>
      <c r="AQ10" s="1559">
        <v>0</v>
      </c>
    </row>
    <row r="11" spans="1:43" s="1565" customFormat="1" ht="0.75" hidden="1" customHeight="1">
      <c r="A11" s="1298"/>
      <c r="B11" s="1298"/>
      <c r="C11" s="1298"/>
      <c r="D11" s="1298"/>
      <c r="E11" s="2531"/>
      <c r="F11" s="2531"/>
      <c r="G11" s="2531"/>
      <c r="H11" s="2530"/>
      <c r="I11" s="1298"/>
      <c r="J11" s="1298"/>
      <c r="K11" s="1298"/>
      <c r="L11" s="1304"/>
      <c r="M11" s="1301"/>
      <c r="N11" s="1301"/>
      <c r="O11" s="287"/>
      <c r="P11" s="316"/>
      <c r="Q11" s="1267"/>
      <c r="R11" s="1324"/>
      <c r="S11" s="1309"/>
      <c r="T11" s="1310"/>
      <c r="U11" s="1311"/>
      <c r="V11" s="1311"/>
      <c r="W11" s="1311"/>
      <c r="X11" s="1311"/>
      <c r="Y11" s="1311"/>
      <c r="Z11" s="1311"/>
      <c r="AA11" s="1311"/>
      <c r="AB11" s="1311"/>
      <c r="AC11" s="1311"/>
      <c r="AD11" s="1311"/>
      <c r="AE11" s="1311"/>
      <c r="AF11" s="1311"/>
      <c r="AG11" s="1311"/>
      <c r="AH11" s="1311"/>
      <c r="AI11" s="1311"/>
      <c r="AJ11" s="1311"/>
      <c r="AK11" s="1312"/>
      <c r="AM11" s="1547"/>
      <c r="AN11" s="1547" t="str">
        <f t="shared" si="0"/>
        <v/>
      </c>
      <c r="AO11" s="1547"/>
      <c r="AP11" s="1547"/>
      <c r="AQ11" s="1559">
        <v>0</v>
      </c>
    </row>
    <row r="12" spans="1:43" s="1565" customFormat="1" ht="0.75" hidden="1" customHeight="1">
      <c r="A12" s="1298"/>
      <c r="B12" s="1298"/>
      <c r="C12" s="1298"/>
      <c r="D12" s="1297"/>
      <c r="E12" s="2531"/>
      <c r="F12" s="2531"/>
      <c r="G12" s="2530"/>
      <c r="H12" s="1297"/>
      <c r="I12" s="1297"/>
      <c r="J12" s="1297"/>
      <c r="K12" s="1297"/>
      <c r="L12" s="1300"/>
      <c r="M12" s="1301"/>
      <c r="N12" s="1301"/>
      <c r="O12" s="287"/>
      <c r="P12" s="1239"/>
      <c r="Q12" s="1240"/>
      <c r="R12" s="1239"/>
      <c r="S12" s="1245"/>
      <c r="T12" s="1248" t="s">
        <v>433</v>
      </c>
      <c r="U12" s="1247"/>
      <c r="V12" s="1247"/>
      <c r="W12" s="1247"/>
      <c r="X12" s="1247"/>
      <c r="Y12" s="1247"/>
      <c r="Z12" s="1247"/>
      <c r="AA12" s="1247"/>
      <c r="AB12" s="1247"/>
      <c r="AC12" s="1247"/>
      <c r="AD12" s="1247"/>
      <c r="AE12" s="1247"/>
      <c r="AF12" s="1247"/>
      <c r="AG12" s="1247"/>
      <c r="AH12" s="1247"/>
      <c r="AI12" s="1247"/>
      <c r="AJ12" s="1247"/>
      <c r="AK12" s="1247"/>
      <c r="AM12" s="1174"/>
      <c r="AN12" s="1174" t="str">
        <f t="shared" si="0"/>
        <v>Добавить источник для дифференциации</v>
      </c>
      <c r="AO12" s="1174"/>
      <c r="AP12" s="1174"/>
      <c r="AQ12" s="1565">
        <v>0</v>
      </c>
    </row>
    <row r="13" spans="1:43" s="1565" customFormat="1" ht="0.75" hidden="1" customHeight="1">
      <c r="A13" s="1298"/>
      <c r="B13" s="1298"/>
      <c r="C13" s="1297"/>
      <c r="D13" s="1297"/>
      <c r="E13" s="2531"/>
      <c r="F13" s="2530"/>
      <c r="G13" s="1297"/>
      <c r="H13" s="1297"/>
      <c r="I13" s="1297"/>
      <c r="J13" s="1297"/>
      <c r="K13" s="1297"/>
      <c r="L13" s="1300"/>
      <c r="M13" s="1302"/>
      <c r="N13" s="1302"/>
      <c r="O13" s="287"/>
      <c r="P13" s="1239"/>
      <c r="Q13" s="1240"/>
      <c r="R13" s="1239"/>
      <c r="S13" s="1245"/>
      <c r="T13" s="1248" t="s">
        <v>434</v>
      </c>
      <c r="U13" s="1247"/>
      <c r="V13" s="1247"/>
      <c r="W13" s="1247"/>
      <c r="X13" s="1247"/>
      <c r="Y13" s="1247"/>
      <c r="Z13" s="1247"/>
      <c r="AA13" s="1247"/>
      <c r="AB13" s="1247"/>
      <c r="AC13" s="1247"/>
      <c r="AD13" s="1247"/>
      <c r="AE13" s="1247"/>
      <c r="AF13" s="1247"/>
      <c r="AG13" s="1247"/>
      <c r="AH13" s="1247"/>
      <c r="AI13" s="1247"/>
      <c r="AJ13" s="1247"/>
      <c r="AK13" s="1247"/>
      <c r="AM13" s="1174"/>
      <c r="AN13" s="1174" t="str">
        <f t="shared" si="0"/>
        <v>Добавить централизованную систему для дифференциации</v>
      </c>
      <c r="AO13" s="1174"/>
      <c r="AP13" s="1174"/>
      <c r="AQ13" s="1565">
        <v>0</v>
      </c>
    </row>
    <row r="14" spans="1:43" s="1565" customFormat="1" ht="0.75" hidden="1" customHeight="1">
      <c r="A14" s="1298"/>
      <c r="B14" s="1298"/>
      <c r="C14" s="1298"/>
      <c r="D14" s="1298"/>
      <c r="E14" s="2530"/>
      <c r="F14" s="1298"/>
      <c r="G14" s="1298"/>
      <c r="H14" s="1298"/>
      <c r="I14" s="1298"/>
      <c r="J14" s="1298"/>
      <c r="K14" s="1298"/>
      <c r="L14" s="1304"/>
      <c r="M14" s="1302"/>
      <c r="N14" s="1302"/>
      <c r="O14" s="287"/>
      <c r="P14" s="316"/>
      <c r="Q14" s="1267"/>
      <c r="R14" s="316"/>
      <c r="S14" s="1245"/>
      <c r="T14" s="1248" t="s">
        <v>435</v>
      </c>
      <c r="U14" s="1247"/>
      <c r="V14" s="1247"/>
      <c r="W14" s="1247"/>
      <c r="X14" s="1247"/>
      <c r="Y14" s="1247"/>
      <c r="Z14" s="1247"/>
      <c r="AA14" s="1247"/>
      <c r="AB14" s="1247"/>
      <c r="AC14" s="1247"/>
      <c r="AD14" s="1247"/>
      <c r="AE14" s="1247"/>
      <c r="AF14" s="1247"/>
      <c r="AG14" s="1247"/>
      <c r="AH14" s="1247"/>
      <c r="AI14" s="1247"/>
      <c r="AJ14" s="1247"/>
      <c r="AK14" s="1247"/>
      <c r="AM14" s="1547"/>
      <c r="AN14" s="1547" t="str">
        <f t="shared" si="0"/>
        <v>Добавить территорию для дифференциации</v>
      </c>
      <c r="AO14" s="1547"/>
      <c r="AP14" s="1547"/>
      <c r="AQ14" s="1559">
        <v>0</v>
      </c>
    </row>
    <row r="15" spans="1:43" ht="14.25" hidden="1" customHeight="1">
      <c r="AQ15" s="1554">
        <v>0</v>
      </c>
    </row>
    <row r="16" spans="1:43" ht="14.25" hidden="1" customHeight="1">
      <c r="AC16" s="1425"/>
      <c r="AD16" s="1326"/>
      <c r="AE16" s="1327"/>
      <c r="AF16" s="1657"/>
      <c r="AG16" s="1880" t="s">
        <v>63</v>
      </c>
      <c r="AH16" s="1657"/>
      <c r="AI16" s="1880" t="s">
        <v>63</v>
      </c>
      <c r="AQ16" s="1554">
        <v>0</v>
      </c>
    </row>
    <row r="17" spans="1:43" ht="14.25" hidden="1" customHeight="1">
      <c r="AL17" s="1564"/>
      <c r="AM17" s="1564"/>
      <c r="AN17" s="1564"/>
      <c r="AO17" s="1564"/>
      <c r="AP17" s="1564"/>
      <c r="AQ17" s="1554">
        <v>0</v>
      </c>
    </row>
    <row r="18" spans="1:43" ht="14.25" hidden="1" customHeight="1">
      <c r="O18" s="1268" t="s">
        <v>436</v>
      </c>
      <c r="X18" s="1268"/>
      <c r="Z18" s="1268"/>
      <c r="AF18" s="1268"/>
      <c r="AH18" s="1268"/>
      <c r="AL18" s="1564"/>
      <c r="AM18" s="1564"/>
      <c r="AN18" s="1564"/>
      <c r="AO18" s="1564"/>
      <c r="AP18" s="1564"/>
      <c r="AQ18" s="1554">
        <v>0</v>
      </c>
    </row>
    <row r="19" spans="1:43" ht="14.25" hidden="1" customHeight="1">
      <c r="AL19" s="1564"/>
      <c r="AM19" s="1564"/>
      <c r="AN19" s="1564"/>
      <c r="AO19" s="1564"/>
      <c r="AP19" s="1564"/>
      <c r="AQ19" s="1554">
        <v>0</v>
      </c>
    </row>
    <row r="20" spans="1:43" s="1432" customFormat="1" ht="14.25" hidden="1" customHeight="1">
      <c r="A20" s="1885"/>
      <c r="B20" s="1885"/>
      <c r="C20" s="1885"/>
      <c r="D20" s="1885"/>
      <c r="E20" s="1885"/>
      <c r="F20" s="1885"/>
      <c r="G20" s="1885"/>
      <c r="H20" s="1885"/>
      <c r="I20" s="1885"/>
      <c r="J20" s="1885"/>
      <c r="K20" s="1885"/>
      <c r="L20" s="1885"/>
      <c r="M20" s="1886"/>
      <c r="N20" s="1886"/>
      <c r="O20" s="1887" t="s">
        <v>437</v>
      </c>
      <c r="P20" s="1431"/>
      <c r="Q20" s="1433"/>
      <c r="R20" s="1433"/>
      <c r="Y20" s="1430" t="s">
        <v>439</v>
      </c>
      <c r="AA20" s="1430" t="s">
        <v>440</v>
      </c>
      <c r="AC20" s="1430" t="s">
        <v>485</v>
      </c>
      <c r="AG20" s="1430" t="s">
        <v>439</v>
      </c>
      <c r="AI20" s="1430" t="s">
        <v>440</v>
      </c>
      <c r="AL20" s="1434"/>
      <c r="AM20" s="1434"/>
      <c r="AN20" s="1434"/>
      <c r="AO20" s="1434"/>
      <c r="AP20" s="1434"/>
      <c r="AQ20" s="1430">
        <v>0</v>
      </c>
    </row>
    <row r="21" spans="1:43" ht="14.25" hidden="1" customHeight="1">
      <c r="O21" s="1233"/>
      <c r="AL21" s="1564"/>
      <c r="AM21" s="1564"/>
      <c r="AN21" s="1564"/>
      <c r="AO21" s="1564"/>
      <c r="AP21" s="1564"/>
      <c r="AQ21" s="1554">
        <v>0</v>
      </c>
    </row>
    <row r="22" spans="1:43" ht="14.25" hidden="1" customHeight="1">
      <c r="O22" s="1233"/>
      <c r="AL22" s="1564"/>
      <c r="AM22" s="1564"/>
      <c r="AN22" s="1564"/>
      <c r="AO22" s="1564"/>
      <c r="AP22" s="1564"/>
      <c r="AQ22" s="1554">
        <v>0</v>
      </c>
    </row>
    <row r="23" spans="1:43" ht="14.65" customHeight="1">
      <c r="Q23" s="228"/>
      <c r="R23" s="312"/>
      <c r="S23" s="1198"/>
      <c r="T23" s="393"/>
      <c r="U23" s="393"/>
      <c r="AQ23" s="1554">
        <v>14</v>
      </c>
    </row>
    <row r="24" spans="1:43" ht="39.75" customHeight="1">
      <c r="Q24" s="228"/>
      <c r="R24" s="312"/>
      <c r="S24" s="249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490"/>
      <c r="U24" s="2490"/>
      <c r="V24" s="2490"/>
      <c r="W24" s="2490"/>
      <c r="X24" s="2490"/>
      <c r="Y24" s="2490"/>
      <c r="Z24" s="2490"/>
      <c r="AA24" s="2490"/>
      <c r="AB24" s="2490"/>
      <c r="AC24" s="2490"/>
      <c r="AD24" s="2490"/>
      <c r="AE24" s="2490"/>
      <c r="AF24" s="2490"/>
      <c r="AG24" s="2490"/>
      <c r="AH24" s="2490"/>
      <c r="AI24" s="1166"/>
      <c r="AQ24" s="1554">
        <v>38</v>
      </c>
    </row>
    <row r="25" spans="1:43" ht="14.65" customHeight="1">
      <c r="Q25" s="228"/>
      <c r="R25" s="312"/>
      <c r="S25" s="2436" t="str">
        <f>IF(org=0,"Не определено",org)</f>
        <v>ПАО "ТГК-2"</v>
      </c>
      <c r="T25" s="2436"/>
      <c r="U25" s="2436"/>
      <c r="V25" s="2436"/>
      <c r="W25" s="2436"/>
      <c r="X25" s="2436"/>
      <c r="Y25" s="2436"/>
      <c r="Z25" s="2436"/>
      <c r="AA25" s="2436"/>
      <c r="AB25" s="2436"/>
      <c r="AC25" s="2436"/>
      <c r="AD25" s="2436"/>
      <c r="AE25" s="2436"/>
      <c r="AF25" s="2436"/>
      <c r="AG25" s="2436"/>
      <c r="AH25" s="2436"/>
      <c r="AI25" s="1166"/>
      <c r="AQ25" s="1554">
        <v>14</v>
      </c>
    </row>
    <row r="26" spans="1:43" ht="14.25" hidden="1" customHeight="1">
      <c r="Q26" s="228"/>
      <c r="R26" s="312"/>
      <c r="S26" s="1198"/>
      <c r="T26" s="393"/>
      <c r="U26" s="393"/>
      <c r="V26" s="259"/>
      <c r="W26" s="259"/>
      <c r="X26" s="259"/>
      <c r="Y26" s="259"/>
      <c r="Z26" s="259"/>
      <c r="AA26" s="259"/>
      <c r="AB26" s="259"/>
      <c r="AC26" s="259"/>
      <c r="AD26" s="259"/>
      <c r="AE26" s="259"/>
      <c r="AF26" s="259"/>
      <c r="AG26" s="259"/>
      <c r="AH26" s="259"/>
      <c r="AI26" s="259"/>
      <c r="AQ26" s="1554">
        <v>0</v>
      </c>
    </row>
    <row r="27" spans="1:43" s="1770" customFormat="1" ht="25.5" hidden="1" customHeight="1">
      <c r="A27" s="1171"/>
      <c r="B27" s="1171"/>
      <c r="C27" s="1171"/>
      <c r="D27" s="1171"/>
      <c r="E27" s="1171"/>
      <c r="F27" s="1171"/>
      <c r="G27" s="1171"/>
      <c r="H27" s="1171"/>
      <c r="I27" s="1171"/>
      <c r="J27" s="1171"/>
      <c r="K27" s="1171"/>
      <c r="L27" s="1303"/>
      <c r="M27" s="1171"/>
      <c r="N27" s="1171"/>
      <c r="O27" s="1171"/>
      <c r="P27" s="1291"/>
      <c r="Q27" s="1291"/>
      <c r="S27" s="257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574"/>
      <c r="U27" s="1295"/>
      <c r="V27" s="2499" t="str">
        <f>IF(TITLE_NAME_OR_PR_CHANGE="",IF(TITLE_NAME_OR_PR="","",TITLE_NAME_OR_PR),TITLE_NAME_OR_PR_CHANGE)</f>
        <v/>
      </c>
      <c r="W27" s="2499"/>
      <c r="X27" s="2499"/>
      <c r="Y27" s="2499"/>
      <c r="Z27" s="2499"/>
      <c r="AA27" s="1558"/>
      <c r="AB27" s="1558"/>
      <c r="AC27" s="2499"/>
      <c r="AD27" s="2499"/>
      <c r="AE27" s="2499"/>
      <c r="AF27" s="2499"/>
      <c r="AG27" s="2499"/>
      <c r="AH27" s="2499"/>
      <c r="AI27" s="1558"/>
      <c r="AJ27" s="1558"/>
      <c r="AK27" s="217"/>
      <c r="AL27" s="304"/>
      <c r="AM27" s="304"/>
      <c r="AN27" s="304"/>
      <c r="AO27" s="304"/>
      <c r="AP27" s="304"/>
      <c r="AQ27" s="354">
        <v>0</v>
      </c>
    </row>
    <row r="28" spans="1:43" s="1770" customFormat="1" ht="18.75" hidden="1" customHeight="1">
      <c r="A28" s="1171"/>
      <c r="B28" s="1171"/>
      <c r="C28" s="1171"/>
      <c r="D28" s="1171"/>
      <c r="E28" s="1171"/>
      <c r="F28" s="1171"/>
      <c r="G28" s="1171"/>
      <c r="H28" s="1171"/>
      <c r="I28" s="1171"/>
      <c r="J28" s="1171"/>
      <c r="K28" s="1171"/>
      <c r="L28" s="1303"/>
      <c r="M28" s="1171"/>
      <c r="N28" s="1171"/>
      <c r="O28" s="1171"/>
      <c r="P28" s="1291"/>
      <c r="Q28" s="1291"/>
      <c r="S28" s="2573" t="str">
        <f>"Дата документа об "&amp;IF(TITLE_DATE_PR_CHANGE="","утверждении","изменении")&amp;" тарифов"</f>
        <v>Дата документа об утверждении тарифов</v>
      </c>
      <c r="T28" s="2574"/>
      <c r="U28" s="1295"/>
      <c r="V28" s="2508" t="str">
        <f>IF(TITLE_DATE_PR_CHANGE="",IF(TITLE_DATE_PR="","",TITLE_DATE_PR),TITLE_DATE_PR_CHANGE)</f>
        <v/>
      </c>
      <c r="W28" s="2508"/>
      <c r="X28" s="2508"/>
      <c r="Y28" s="2508"/>
      <c r="Z28" s="2508"/>
      <c r="AA28" s="1558"/>
      <c r="AB28" s="1558"/>
      <c r="AC28" s="2508"/>
      <c r="AD28" s="2508"/>
      <c r="AE28" s="2508"/>
      <c r="AF28" s="2508"/>
      <c r="AG28" s="2508"/>
      <c r="AH28" s="2508"/>
      <c r="AI28" s="1558"/>
      <c r="AJ28" s="1558"/>
      <c r="AK28" s="217"/>
      <c r="AL28" s="304"/>
      <c r="AM28" s="304"/>
      <c r="AN28" s="304"/>
      <c r="AO28" s="304"/>
      <c r="AP28" s="304"/>
      <c r="AQ28" s="354">
        <v>0</v>
      </c>
    </row>
    <row r="29" spans="1:43" s="1770" customFormat="1" ht="18.75" hidden="1" customHeight="1">
      <c r="A29" s="1171"/>
      <c r="B29" s="1171"/>
      <c r="C29" s="1171"/>
      <c r="D29" s="1171"/>
      <c r="E29" s="1171"/>
      <c r="F29" s="1171"/>
      <c r="G29" s="1171"/>
      <c r="H29" s="1171"/>
      <c r="I29" s="1171"/>
      <c r="J29" s="1171"/>
      <c r="K29" s="1171"/>
      <c r="L29" s="1303"/>
      <c r="M29" s="1171"/>
      <c r="N29" s="1171"/>
      <c r="O29" s="1171"/>
      <c r="P29" s="1291"/>
      <c r="Q29" s="1291"/>
      <c r="S29" s="2573" t="str">
        <f>"Номер документа об "&amp;IF(TITLE_DATE_PR_CHANGE="","утверждении","изменении")&amp;" тарифов"</f>
        <v>Номер документа об утверждении тарифов</v>
      </c>
      <c r="T29" s="2574"/>
      <c r="U29" s="1295"/>
      <c r="V29" s="2499" t="str">
        <f>IF(TITLE_NUMBER_PR_CHANGE="",IF(TITLE_NUMBER_PR="","",TITLE_NUMBER_PR),TITLE_NUMBER_PR_CHANGE)</f>
        <v/>
      </c>
      <c r="W29" s="2499"/>
      <c r="X29" s="2499"/>
      <c r="Y29" s="2499"/>
      <c r="Z29" s="2499"/>
      <c r="AA29" s="1558"/>
      <c r="AB29" s="1558"/>
      <c r="AC29" s="2499"/>
      <c r="AD29" s="2499"/>
      <c r="AE29" s="2499"/>
      <c r="AF29" s="2499"/>
      <c r="AG29" s="2499"/>
      <c r="AH29" s="2499"/>
      <c r="AI29" s="1558"/>
      <c r="AJ29" s="1558"/>
      <c r="AK29" s="217"/>
      <c r="AL29" s="304"/>
      <c r="AM29" s="304"/>
      <c r="AN29" s="304"/>
      <c r="AO29" s="304"/>
      <c r="AP29" s="304"/>
      <c r="AQ29" s="354">
        <v>0</v>
      </c>
    </row>
    <row r="30" spans="1:43" s="1770" customFormat="1" ht="18.75" hidden="1" customHeight="1">
      <c r="A30" s="1171"/>
      <c r="B30" s="1171"/>
      <c r="C30" s="1171"/>
      <c r="D30" s="1171"/>
      <c r="E30" s="1171"/>
      <c r="F30" s="1171"/>
      <c r="G30" s="1171"/>
      <c r="H30" s="1171"/>
      <c r="I30" s="1171"/>
      <c r="J30" s="1171"/>
      <c r="K30" s="1171"/>
      <c r="L30" s="1303"/>
      <c r="M30" s="1171"/>
      <c r="N30" s="1171"/>
      <c r="O30" s="1171"/>
      <c r="P30" s="1291"/>
      <c r="Q30" s="1291"/>
      <c r="S30" s="2573" t="s">
        <v>43</v>
      </c>
      <c r="T30" s="2574"/>
      <c r="U30" s="1295"/>
      <c r="V30" s="2499" t="str">
        <f>IF(TITLE_IST_PUB_CHANGE="",IF(TITLE_IST_PUB="","",TITLE_IST_PUB),TITLE_IST_PUB_CHANGE)</f>
        <v/>
      </c>
      <c r="W30" s="2499"/>
      <c r="X30" s="2499"/>
      <c r="Y30" s="2499"/>
      <c r="Z30" s="2499"/>
      <c r="AA30" s="1558"/>
      <c r="AB30" s="1558"/>
      <c r="AC30" s="2499"/>
      <c r="AD30" s="2499"/>
      <c r="AE30" s="2499"/>
      <c r="AF30" s="2499"/>
      <c r="AG30" s="2499"/>
      <c r="AH30" s="2499"/>
      <c r="AI30" s="1558"/>
      <c r="AJ30" s="1558"/>
      <c r="AK30" s="217"/>
      <c r="AL30" s="304"/>
      <c r="AM30" s="304"/>
      <c r="AN30" s="304"/>
      <c r="AO30" s="304"/>
      <c r="AP30" s="304"/>
      <c r="AQ30" s="354">
        <v>0</v>
      </c>
    </row>
    <row r="31" spans="1:43" ht="14.25" hidden="1" customHeight="1">
      <c r="Q31" s="228"/>
      <c r="R31" s="312"/>
      <c r="S31" s="1198"/>
      <c r="T31" s="393"/>
      <c r="U31" s="393"/>
      <c r="V31" s="259"/>
      <c r="W31" s="259"/>
      <c r="X31" s="259"/>
      <c r="Y31" s="259"/>
      <c r="Z31" s="259"/>
      <c r="AA31" s="259"/>
      <c r="AB31" s="259"/>
      <c r="AC31" s="259"/>
      <c r="AD31" s="259"/>
      <c r="AE31" s="259"/>
      <c r="AF31" s="259"/>
      <c r="AG31" s="259"/>
      <c r="AH31" s="259"/>
      <c r="AI31" s="259"/>
      <c r="AQ31" s="1554">
        <v>0</v>
      </c>
    </row>
    <row r="32" spans="1:43" s="1770" customFormat="1" ht="18.75" hidden="1" customHeight="1">
      <c r="A32" s="1171"/>
      <c r="B32" s="1171"/>
      <c r="C32" s="1171"/>
      <c r="D32" s="1171"/>
      <c r="E32" s="1171"/>
      <c r="F32" s="1171"/>
      <c r="G32" s="1171"/>
      <c r="H32" s="1171"/>
      <c r="I32" s="1171"/>
      <c r="J32" s="1171"/>
      <c r="K32" s="1171"/>
      <c r="L32" s="1303"/>
      <c r="M32" s="1171"/>
      <c r="N32" s="1171"/>
      <c r="O32" s="1171"/>
      <c r="P32" s="1291"/>
      <c r="Q32" s="1291"/>
      <c r="S32" s="2573" t="str">
        <f>"Дата подачи заявления об "&amp;IF(TITLE_DATE_PR_CHANGE="","утверждении","изменении")&amp;" тарифов"</f>
        <v>Дата подачи заявления об утверждении тарифов</v>
      </c>
      <c r="T32" s="2574"/>
      <c r="U32" s="1295"/>
      <c r="V32" s="2508" t="str">
        <f>IF(TITLE_DATE_PR_CHANGE="",IF(TITLE_DATE_PR="","",TITLE_DATE_PR),TITLE_DATE_PR_CHANGE)</f>
        <v/>
      </c>
      <c r="W32" s="2508"/>
      <c r="X32" s="2508"/>
      <c r="Y32" s="2508"/>
      <c r="Z32" s="2508"/>
      <c r="AA32" s="1558"/>
      <c r="AB32" s="1558"/>
      <c r="AC32" s="2508"/>
      <c r="AD32" s="2508"/>
      <c r="AE32" s="2508"/>
      <c r="AF32" s="2508"/>
      <c r="AG32" s="2508"/>
      <c r="AH32" s="2508"/>
      <c r="AI32" s="1558"/>
      <c r="AJ32" s="1558"/>
      <c r="AK32" s="217"/>
      <c r="AL32" s="304"/>
      <c r="AM32" s="304"/>
      <c r="AN32" s="304"/>
      <c r="AO32" s="304"/>
      <c r="AP32" s="304"/>
      <c r="AQ32" s="354">
        <v>0</v>
      </c>
    </row>
    <row r="33" spans="1:43" s="1770" customFormat="1" ht="18" hidden="1" customHeight="1">
      <c r="A33" s="1171"/>
      <c r="B33" s="1171"/>
      <c r="C33" s="1171"/>
      <c r="D33" s="1171"/>
      <c r="E33" s="1171"/>
      <c r="F33" s="1171"/>
      <c r="G33" s="1171"/>
      <c r="H33" s="1171"/>
      <c r="I33" s="1171"/>
      <c r="J33" s="1171"/>
      <c r="K33" s="1171"/>
      <c r="L33" s="1303"/>
      <c r="M33" s="1171"/>
      <c r="N33" s="1171"/>
      <c r="O33" s="1171"/>
      <c r="P33" s="1291"/>
      <c r="Q33" s="1291"/>
      <c r="S33" s="2573" t="str">
        <f>"Номер подачи заявления об "&amp;IF(TITLE_DATE_PR_CHANGE="","утверждении","изменении")&amp;" тарифов"</f>
        <v>Номер подачи заявления об утверждении тарифов</v>
      </c>
      <c r="T33" s="2574"/>
      <c r="U33" s="1295"/>
      <c r="V33" s="2499" t="str">
        <f>IF(TITLE_NUMBER_PR_CHANGE="",IF(TITLE_NUMBER_PR="","",TITLE_NUMBER_PR),TITLE_NUMBER_PR_CHANGE)</f>
        <v/>
      </c>
      <c r="W33" s="2499"/>
      <c r="X33" s="2499"/>
      <c r="Y33" s="2499"/>
      <c r="Z33" s="2499"/>
      <c r="AA33" s="1558"/>
      <c r="AB33" s="1558"/>
      <c r="AC33" s="2499"/>
      <c r="AD33" s="2499"/>
      <c r="AE33" s="2499"/>
      <c r="AF33" s="2499"/>
      <c r="AG33" s="2499"/>
      <c r="AH33" s="2499"/>
      <c r="AI33" s="1558"/>
      <c r="AJ33" s="1558"/>
      <c r="AK33" s="217"/>
      <c r="AL33" s="304"/>
      <c r="AM33" s="304"/>
      <c r="AN33" s="304"/>
      <c r="AO33" s="304"/>
      <c r="AP33" s="304"/>
      <c r="AQ33" s="354">
        <v>0</v>
      </c>
    </row>
    <row r="34" spans="1:43" s="1770" customFormat="1" ht="1.1499999999999999" customHeight="1">
      <c r="A34" s="1171"/>
      <c r="B34" s="1171"/>
      <c r="C34" s="1171"/>
      <c r="D34" s="1171"/>
      <c r="E34" s="1171"/>
      <c r="F34" s="1171"/>
      <c r="G34" s="1171"/>
      <c r="H34" s="1171"/>
      <c r="I34" s="1171"/>
      <c r="J34" s="1171"/>
      <c r="K34" s="1171"/>
      <c r="L34" s="1303"/>
      <c r="M34" s="1171"/>
      <c r="N34" s="1171"/>
      <c r="O34" s="1171"/>
      <c r="P34" s="1291"/>
      <c r="Q34" s="1291"/>
      <c r="S34" s="1558"/>
      <c r="T34" s="1558"/>
      <c r="U34" s="1884"/>
      <c r="V34" s="1558"/>
      <c r="W34" s="1558"/>
      <c r="X34" s="1558"/>
      <c r="Y34" s="1558"/>
      <c r="Z34" s="1558"/>
      <c r="AA34" s="1565" t="s">
        <v>442</v>
      </c>
      <c r="AB34" s="1565"/>
      <c r="AC34" s="1558"/>
      <c r="AD34" s="1558"/>
      <c r="AE34" s="1558"/>
      <c r="AF34" s="1558"/>
      <c r="AG34" s="1558"/>
      <c r="AH34" s="1558"/>
      <c r="AI34" s="1565" t="s">
        <v>442</v>
      </c>
      <c r="AL34" s="304"/>
      <c r="AM34" s="304"/>
      <c r="AN34" s="304"/>
      <c r="AO34" s="304"/>
      <c r="AP34" s="304"/>
      <c r="AQ34" s="354">
        <v>1</v>
      </c>
    </row>
    <row r="35" spans="1:43" ht="14.65" customHeight="1">
      <c r="Q35" s="228"/>
      <c r="R35" s="312"/>
      <c r="S35" s="1198"/>
      <c r="T35" s="393"/>
      <c r="U35" s="1167"/>
      <c r="V35" s="2500"/>
      <c r="W35" s="2500"/>
      <c r="X35" s="2500"/>
      <c r="Y35" s="2500"/>
      <c r="Z35" s="2500"/>
      <c r="AA35" s="2500"/>
      <c r="AB35" s="1871"/>
      <c r="AC35" s="2500"/>
      <c r="AD35" s="2500"/>
      <c r="AE35" s="2500"/>
      <c r="AF35" s="2500"/>
      <c r="AG35" s="2500"/>
      <c r="AH35" s="2500"/>
      <c r="AI35" s="2500"/>
      <c r="AQ35" s="1554">
        <v>14</v>
      </c>
    </row>
    <row r="36" spans="1:43" ht="14.65" customHeight="1">
      <c r="Q36" s="228"/>
      <c r="R36" s="312"/>
      <c r="S36" s="2371" t="s">
        <v>319</v>
      </c>
      <c r="T36" s="2371"/>
      <c r="U36" s="2371"/>
      <c r="V36" s="2371"/>
      <c r="W36" s="2371"/>
      <c r="X36" s="2371"/>
      <c r="Y36" s="2371"/>
      <c r="Z36" s="2371"/>
      <c r="AA36" s="2435"/>
      <c r="AB36" s="2435"/>
      <c r="AC36" s="2435"/>
      <c r="AD36" s="2371"/>
      <c r="AE36" s="2371"/>
      <c r="AF36" s="2371"/>
      <c r="AG36" s="2371"/>
      <c r="AH36" s="2371"/>
      <c r="AI36" s="2371"/>
      <c r="AJ36" s="2371"/>
      <c r="AK36" s="2371" t="s">
        <v>320</v>
      </c>
      <c r="AQ36" s="1554">
        <v>14</v>
      </c>
    </row>
    <row r="37" spans="1:43" ht="14.65" customHeight="1">
      <c r="Q37" s="228"/>
      <c r="R37" s="312"/>
      <c r="S37" s="2514" t="s">
        <v>89</v>
      </c>
      <c r="T37" s="2466" t="s">
        <v>496</v>
      </c>
      <c r="U37" s="274"/>
      <c r="V37" s="2516"/>
      <c r="W37" s="2516"/>
      <c r="X37" s="2516"/>
      <c r="Y37" s="2516"/>
      <c r="Z37" s="2516"/>
      <c r="AA37" s="2466" t="s">
        <v>445</v>
      </c>
      <c r="AB37" s="2465" t="s">
        <v>497</v>
      </c>
      <c r="AC37" s="2465" t="s">
        <v>489</v>
      </c>
      <c r="AD37" s="2532" t="s">
        <v>444</v>
      </c>
      <c r="AE37" s="2532"/>
      <c r="AF37" s="2516"/>
      <c r="AG37" s="2516"/>
      <c r="AH37" s="2517"/>
      <c r="AI37" s="2518" t="s">
        <v>445</v>
      </c>
      <c r="AJ37" s="2521" t="s">
        <v>447</v>
      </c>
      <c r="AK37" s="2371"/>
      <c r="AQ37" s="1554">
        <v>14</v>
      </c>
    </row>
    <row r="38" spans="1:43" ht="35.65" customHeight="1">
      <c r="Q38" s="228"/>
      <c r="R38" s="312"/>
      <c r="S38" s="2514"/>
      <c r="T38" s="2466"/>
      <c r="U38" s="958"/>
      <c r="V38" s="2349" t="s">
        <v>492</v>
      </c>
      <c r="W38" s="2371"/>
      <c r="X38" s="2452" t="s">
        <v>451</v>
      </c>
      <c r="Y38" s="2546"/>
      <c r="Z38" s="2546"/>
      <c r="AA38" s="2466"/>
      <c r="AB38" s="2465"/>
      <c r="AC38" s="2465"/>
      <c r="AD38" s="2349" t="s">
        <v>492</v>
      </c>
      <c r="AE38" s="2371"/>
      <c r="AF38" s="2546" t="s">
        <v>451</v>
      </c>
      <c r="AG38" s="2546"/>
      <c r="AH38" s="2453"/>
      <c r="AI38" s="2519"/>
      <c r="AJ38" s="2522"/>
      <c r="AK38" s="2371"/>
      <c r="AQ38" s="1554">
        <v>34</v>
      </c>
    </row>
    <row r="39" spans="1:43" ht="14.65" customHeight="1">
      <c r="Q39" s="228"/>
      <c r="R39" s="312"/>
      <c r="S39" s="2514"/>
      <c r="T39" s="2466"/>
      <c r="U39" s="958"/>
      <c r="V39" s="2563" t="str">
        <f>IF($AD$39&lt;&gt;"",$AD$39,"")</f>
        <v/>
      </c>
      <c r="W39" s="2563"/>
      <c r="X39" s="2457"/>
      <c r="Y39" s="2547"/>
      <c r="Z39" s="2547"/>
      <c r="AA39" s="2466"/>
      <c r="AB39" s="2465"/>
      <c r="AC39" s="2465"/>
      <c r="AD39" s="2572"/>
      <c r="AE39" s="2562"/>
      <c r="AF39" s="2547"/>
      <c r="AG39" s="2547"/>
      <c r="AH39" s="2458"/>
      <c r="AI39" s="2519"/>
      <c r="AJ39" s="2522"/>
      <c r="AK39" s="2371"/>
      <c r="AQ39" s="1554">
        <v>14</v>
      </c>
    </row>
    <row r="40" spans="1:43" ht="14.65" customHeight="1">
      <c r="A40" s="1189"/>
      <c r="B40" s="1189" t="s">
        <v>156</v>
      </c>
      <c r="C40" s="1189" t="s">
        <v>157</v>
      </c>
      <c r="D40" s="1189" t="s">
        <v>158</v>
      </c>
      <c r="E40" s="1233" t="s">
        <v>452</v>
      </c>
      <c r="F40" s="1233" t="s">
        <v>453</v>
      </c>
      <c r="G40" s="1233" t="s">
        <v>454</v>
      </c>
      <c r="H40" s="1233" t="s">
        <v>455</v>
      </c>
      <c r="I40" s="1233" t="s">
        <v>456</v>
      </c>
      <c r="J40" s="1233" t="s">
        <v>457</v>
      </c>
      <c r="K40" s="1233" t="s">
        <v>458</v>
      </c>
      <c r="L40" s="1233" t="s">
        <v>437</v>
      </c>
      <c r="Q40" s="228"/>
      <c r="R40" s="312"/>
      <c r="S40" s="2514"/>
      <c r="T40" s="2466"/>
      <c r="U40" s="239"/>
      <c r="V40" s="1864" t="s">
        <v>493</v>
      </c>
      <c r="W40" s="1864" t="s">
        <v>494</v>
      </c>
      <c r="X40" s="1852" t="s">
        <v>461</v>
      </c>
      <c r="Y40" s="2474" t="s">
        <v>462</v>
      </c>
      <c r="Z40" s="2475"/>
      <c r="AA40" s="2466"/>
      <c r="AB40" s="2465"/>
      <c r="AC40" s="2465"/>
      <c r="AD40" s="1882" t="s">
        <v>493</v>
      </c>
      <c r="AE40" s="1873" t="s">
        <v>494</v>
      </c>
      <c r="AF40" s="1852" t="s">
        <v>461</v>
      </c>
      <c r="AG40" s="2474" t="s">
        <v>462</v>
      </c>
      <c r="AH40" s="2476"/>
      <c r="AI40" s="2520"/>
      <c r="AJ40" s="2523"/>
      <c r="AK40" s="2371"/>
      <c r="AQ40" s="1554">
        <v>14</v>
      </c>
    </row>
    <row r="41" spans="1:43" s="1564" customFormat="1" ht="11.25" hidden="1" customHeight="1">
      <c r="A41" s="1189"/>
      <c r="B41" s="1189"/>
      <c r="C41" s="1189"/>
      <c r="D41" s="1189"/>
      <c r="E41" s="1189"/>
      <c r="F41" s="1189"/>
      <c r="G41" s="1189"/>
      <c r="H41" s="1189"/>
      <c r="I41" s="1189"/>
      <c r="J41" s="1189"/>
      <c r="K41" s="1189"/>
      <c r="L41" s="1233"/>
      <c r="M41" s="1879"/>
      <c r="N41" s="1879"/>
      <c r="O41" s="1879"/>
      <c r="P41" s="446"/>
      <c r="Q41" s="1177"/>
      <c r="R41" s="1177">
        <v>1</v>
      </c>
      <c r="S41" s="1200" t="s">
        <v>100</v>
      </c>
      <c r="T41" s="1178" t="s">
        <v>103</v>
      </c>
      <c r="U41" s="1168" t="str">
        <f ca="1">OFFSET(U41,0,-1)</f>
        <v>2</v>
      </c>
      <c r="V41" s="1870">
        <f ca="1">OFFSET(V41,0,-1)+1</f>
        <v>3</v>
      </c>
      <c r="W41" s="1870">
        <f ca="1">OFFSET(W41,0,-1)+1</f>
        <v>4</v>
      </c>
      <c r="X41" s="1870">
        <f ca="1">OFFSET(X41,0,-1)+1</f>
        <v>5</v>
      </c>
      <c r="Y41" s="2513">
        <f ca="1">OFFSET(Y41,0,-1)+1</f>
        <v>6</v>
      </c>
      <c r="Z41" s="2513"/>
      <c r="AA41" s="1264">
        <f ca="1">OFFSET(AA41,0,-2)+1</f>
        <v>7</v>
      </c>
      <c r="AB41" s="1264"/>
      <c r="AC41" s="1264"/>
      <c r="AD41" s="1870">
        <f ca="1">OFFSET(AD41,0,-1)+1</f>
        <v>1</v>
      </c>
      <c r="AE41" s="1870">
        <f ca="1">OFFSET(AE41,0,-1)+1</f>
        <v>2</v>
      </c>
      <c r="AF41" s="1870">
        <f ca="1">OFFSET(AF41,0,-1)+1</f>
        <v>3</v>
      </c>
      <c r="AG41" s="2513">
        <f ca="1">OFFSET(AG41,0,-1)+1</f>
        <v>4</v>
      </c>
      <c r="AH41" s="2513"/>
      <c r="AI41" s="1870">
        <f ca="1">OFFSET(AI41,0,-2)+1</f>
        <v>5</v>
      </c>
      <c r="AJ41" s="1168">
        <f ca="1">OFFSET(AJ41,0,-1)</f>
        <v>5</v>
      </c>
      <c r="AK41" s="1870">
        <f ca="1">OFFSET(AK41,0,-1)+1</f>
        <v>6</v>
      </c>
      <c r="AL41" s="1559"/>
      <c r="AM41" s="1559"/>
      <c r="AN41" s="1559"/>
      <c r="AO41" s="1559"/>
      <c r="AP41" s="1559"/>
      <c r="AQ41" s="1564">
        <v>0</v>
      </c>
    </row>
    <row r="42" spans="1:43" ht="107.25" customHeight="1">
      <c r="A42" s="1190" t="s">
        <v>225</v>
      </c>
      <c r="B42" s="1190"/>
      <c r="C42" s="1190"/>
      <c r="D42" s="1190"/>
      <c r="E42" s="2530">
        <v>1</v>
      </c>
      <c r="F42" s="1190"/>
      <c r="G42" s="1190"/>
      <c r="H42" s="1190"/>
      <c r="I42" s="1190"/>
      <c r="J42" s="1190"/>
      <c r="K42" s="1190"/>
      <c r="L42" s="1233"/>
      <c r="M42" s="1533"/>
      <c r="N42" s="1533"/>
      <c r="O42" s="1533"/>
      <c r="P42" s="1332"/>
      <c r="Q42" s="802"/>
      <c r="R42" s="291"/>
      <c r="S42" s="1872">
        <f>INDEX(PT_DIFFERENTIATION_NUM_NTAR,MATCH(A42,PT_DIFFERENTIATION_NTAR_ID,0))</f>
        <v>0</v>
      </c>
      <c r="T42" s="1448" t="s">
        <v>144</v>
      </c>
      <c r="U42" s="237"/>
      <c r="V42" s="2493"/>
      <c r="W42" s="2493"/>
      <c r="X42" s="2493"/>
      <c r="Y42" s="2493"/>
      <c r="Z42" s="2493"/>
      <c r="AA42" s="2494"/>
      <c r="AB42" s="1866"/>
      <c r="AC42" s="2493" t="str">
        <f>INDEX(PT_DIFFERENTIATION_NTAR,MATCH(A42,PT_DIFFERENTIATION_NTAR_ID,0))</f>
        <v/>
      </c>
      <c r="AD42" s="2493"/>
      <c r="AE42" s="2493"/>
      <c r="AF42" s="2493"/>
      <c r="AG42" s="2493"/>
      <c r="AH42" s="2493"/>
      <c r="AI42" s="2493"/>
      <c r="AJ42" s="2494"/>
      <c r="AK42" s="118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47"/>
      <c r="AN42" s="1547" t="str">
        <f t="shared" ref="AN42:AN56" si="1">IF(T42="","",T42)</f>
        <v>Наименование тарифа</v>
      </c>
      <c r="AO42" s="1547"/>
      <c r="AP42" s="1547"/>
      <c r="AQ42" s="1554">
        <v>102</v>
      </c>
    </row>
    <row r="43" spans="1:43" ht="21.95" customHeight="1">
      <c r="A43" s="1190" t="s">
        <v>225</v>
      </c>
      <c r="B43" s="1190" t="s">
        <v>226</v>
      </c>
      <c r="C43" s="1190"/>
      <c r="D43" s="1190"/>
      <c r="E43" s="2531"/>
      <c r="F43" s="2530">
        <v>1</v>
      </c>
      <c r="G43" s="1190"/>
      <c r="H43" s="1190"/>
      <c r="I43" s="1190"/>
      <c r="J43" s="1190"/>
      <c r="K43" s="1190"/>
      <c r="L43" s="1233"/>
      <c r="M43" s="1533"/>
      <c r="N43" s="1533"/>
      <c r="O43" s="1533"/>
      <c r="P43" s="1883"/>
      <c r="Q43" s="1334"/>
      <c r="R43" s="289"/>
      <c r="S43" s="1872" t="str">
        <f>INDEX(PT_DIFFERENTIATION_NUM_TER,MATCH(B43,PT_DIFFERENTIATION_TER_ID,0))</f>
        <v>.</v>
      </c>
      <c r="T43" s="1445" t="s">
        <v>416</v>
      </c>
      <c r="U43" s="237"/>
      <c r="V43" s="2493"/>
      <c r="W43" s="2493"/>
      <c r="X43" s="2493"/>
      <c r="Y43" s="2493"/>
      <c r="Z43" s="2493"/>
      <c r="AA43" s="2494"/>
      <c r="AB43" s="1866"/>
      <c r="AC43" s="2493" t="str">
        <f>INDEX(PT_DIFFERENTIATION_TER,MATCH(B43,PT_DIFFERENTIATION_TER_ID,0))</f>
        <v/>
      </c>
      <c r="AD43" s="2493"/>
      <c r="AE43" s="2493"/>
      <c r="AF43" s="2493"/>
      <c r="AG43" s="2493"/>
      <c r="AH43" s="2493"/>
      <c r="AI43" s="2493"/>
      <c r="AJ43" s="2494"/>
      <c r="AK43" s="1181" t="s">
        <v>417</v>
      </c>
      <c r="AM43" s="1547"/>
      <c r="AN43" s="1547" t="str">
        <f t="shared" si="1"/>
        <v>Территория действия тарифа</v>
      </c>
      <c r="AO43" s="1547"/>
      <c r="AP43" s="1547"/>
      <c r="AQ43" s="1554">
        <v>21</v>
      </c>
    </row>
    <row r="44" spans="1:43" ht="24" customHeight="1">
      <c r="A44" s="1190" t="s">
        <v>225</v>
      </c>
      <c r="B44" s="1190" t="s">
        <v>226</v>
      </c>
      <c r="C44" s="1190" t="s">
        <v>227</v>
      </c>
      <c r="D44" s="1190"/>
      <c r="E44" s="2531"/>
      <c r="F44" s="2531"/>
      <c r="G44" s="2530">
        <v>1</v>
      </c>
      <c r="H44" s="1190"/>
      <c r="I44" s="1190"/>
      <c r="J44" s="1190"/>
      <c r="K44" s="1190"/>
      <c r="L44" s="1233"/>
      <c r="M44" s="1533"/>
      <c r="N44" s="1533"/>
      <c r="O44" s="1533"/>
      <c r="P44" s="1335"/>
      <c r="Q44" s="1334"/>
      <c r="R44" s="289"/>
      <c r="S44" s="1872" t="str">
        <f>INDEX(PT_DIFFERENTIATION_NUM_CS,MATCH(C44,PT_DIFFERENTIATION_CS_ID,0))</f>
        <v>..</v>
      </c>
      <c r="T44" s="246" t="s">
        <v>418</v>
      </c>
      <c r="U44" s="237"/>
      <c r="V44" s="2493"/>
      <c r="W44" s="2493"/>
      <c r="X44" s="2493"/>
      <c r="Y44" s="2493"/>
      <c r="Z44" s="2493"/>
      <c r="AA44" s="2494"/>
      <c r="AB44" s="1866"/>
      <c r="AC44" s="2493" t="str">
        <f>INDEX(PT_DIFFERENTIATION_CS,MATCH(C44,PT_DIFFERENTIATION_CS_ID,0))</f>
        <v/>
      </c>
      <c r="AD44" s="2493"/>
      <c r="AE44" s="2493"/>
      <c r="AF44" s="2493"/>
      <c r="AG44" s="2493"/>
      <c r="AH44" s="2493"/>
      <c r="AI44" s="2493"/>
      <c r="AJ44" s="2494"/>
      <c r="AK44" s="1181" t="s">
        <v>419</v>
      </c>
      <c r="AM44" s="1547"/>
      <c r="AN44" s="1547" t="str">
        <f t="shared" si="1"/>
        <v xml:space="preserve">Наименование системы теплоснабжения </v>
      </c>
      <c r="AO44" s="1547"/>
      <c r="AP44" s="1547"/>
      <c r="AQ44" s="1554">
        <v>23</v>
      </c>
    </row>
    <row r="45" spans="1:43" ht="21.95" customHeight="1">
      <c r="A45" s="1190" t="s">
        <v>225</v>
      </c>
      <c r="B45" s="1190" t="s">
        <v>226</v>
      </c>
      <c r="C45" s="1190" t="s">
        <v>227</v>
      </c>
      <c r="D45" s="1190" t="s">
        <v>228</v>
      </c>
      <c r="E45" s="2531"/>
      <c r="F45" s="2531"/>
      <c r="G45" s="2531"/>
      <c r="H45" s="2530">
        <v>1</v>
      </c>
      <c r="I45" s="1190"/>
      <c r="J45" s="1190"/>
      <c r="K45" s="1190"/>
      <c r="L45" s="1233"/>
      <c r="M45" s="1533"/>
      <c r="N45" s="1533"/>
      <c r="O45" s="1533"/>
      <c r="P45" s="1335"/>
      <c r="Q45" s="1334"/>
      <c r="R45" s="289"/>
      <c r="S45" s="1872" t="str">
        <f>INDEX(PT_DIFFERENTIATION_NUM_IST_TE,MATCH(D45,PT_DIFFERENTIATION_IST_TE_ID,0))</f>
        <v>...</v>
      </c>
      <c r="T45" s="247" t="s">
        <v>420</v>
      </c>
      <c r="U45" s="237"/>
      <c r="V45" s="2493"/>
      <c r="W45" s="2493"/>
      <c r="X45" s="2493"/>
      <c r="Y45" s="2493"/>
      <c r="Z45" s="2493"/>
      <c r="AA45" s="2494"/>
      <c r="AB45" s="1866"/>
      <c r="AC45" s="2493" t="str">
        <f>INDEX(PT_DIFFERENTIATION_IST_TE,MATCH(D45,PT_DIFFERENTIATION_IST_TE_ID,0))</f>
        <v/>
      </c>
      <c r="AD45" s="2493"/>
      <c r="AE45" s="2493"/>
      <c r="AF45" s="2493"/>
      <c r="AG45" s="2493"/>
      <c r="AH45" s="2493"/>
      <c r="AI45" s="2493"/>
      <c r="AJ45" s="2494"/>
      <c r="AK45" s="1181" t="s">
        <v>421</v>
      </c>
      <c r="AM45" s="1547"/>
      <c r="AN45" s="1547" t="str">
        <f t="shared" si="1"/>
        <v xml:space="preserve">Источник тепловой энергии  </v>
      </c>
      <c r="AO45" s="1547"/>
      <c r="AP45" s="1547"/>
      <c r="AQ45" s="1554">
        <v>21</v>
      </c>
    </row>
    <row r="46" spans="1:43" s="1565" customFormat="1" ht="0" hidden="1" customHeight="1">
      <c r="A46" s="1298" t="s">
        <v>225</v>
      </c>
      <c r="B46" s="1298" t="s">
        <v>226</v>
      </c>
      <c r="C46" s="1298" t="s">
        <v>227</v>
      </c>
      <c r="D46" s="1298" t="s">
        <v>228</v>
      </c>
      <c r="E46" s="2531"/>
      <c r="F46" s="2531"/>
      <c r="G46" s="2531"/>
      <c r="H46" s="2531"/>
      <c r="I46" s="2371" t="str">
        <f>S45&amp;".1"</f>
        <v>....1</v>
      </c>
      <c r="J46" s="1298"/>
      <c r="K46" s="1298"/>
      <c r="L46" s="1304" t="s">
        <v>422</v>
      </c>
      <c r="M46" s="1169"/>
      <c r="N46" s="1169"/>
      <c r="O46" s="1169"/>
      <c r="P46" s="2505">
        <v>1</v>
      </c>
      <c r="Q46" s="1868"/>
      <c r="R46" s="292"/>
      <c r="S46" s="969"/>
      <c r="T46" s="1306"/>
      <c r="U46" s="1307"/>
      <c r="V46" s="2536"/>
      <c r="W46" s="2536"/>
      <c r="X46" s="2536"/>
      <c r="Y46" s="2536"/>
      <c r="Z46" s="2536"/>
      <c r="AA46" s="2537"/>
      <c r="AB46" s="1874"/>
      <c r="AC46" s="2536"/>
      <c r="AD46" s="2536"/>
      <c r="AE46" s="2536"/>
      <c r="AF46" s="2536"/>
      <c r="AG46" s="2536"/>
      <c r="AH46" s="2536"/>
      <c r="AI46" s="2536"/>
      <c r="AJ46" s="2537"/>
      <c r="AK46" s="1308"/>
      <c r="AM46" s="1547"/>
      <c r="AN46" s="1547" t="str">
        <f t="shared" si="1"/>
        <v/>
      </c>
      <c r="AO46" s="1547"/>
      <c r="AP46" s="1547"/>
      <c r="AQ46" s="1559">
        <v>0</v>
      </c>
    </row>
    <row r="47" spans="1:43" s="1565" customFormat="1" ht="0" hidden="1" customHeight="1">
      <c r="A47" s="1298" t="s">
        <v>225</v>
      </c>
      <c r="B47" s="1298" t="s">
        <v>226</v>
      </c>
      <c r="C47" s="1298" t="s">
        <v>227</v>
      </c>
      <c r="D47" s="1298" t="s">
        <v>228</v>
      </c>
      <c r="E47" s="2531"/>
      <c r="F47" s="2531"/>
      <c r="G47" s="2531"/>
      <c r="H47" s="2531"/>
      <c r="I47" s="2350"/>
      <c r="J47" s="2371" t="str">
        <f>S45&amp;".1"</f>
        <v>....1</v>
      </c>
      <c r="K47" s="1298"/>
      <c r="L47" s="1304"/>
      <c r="M47" s="1169"/>
      <c r="N47" s="1169"/>
      <c r="O47" s="1169"/>
      <c r="P47" s="2505"/>
      <c r="Q47" s="2505">
        <v>1</v>
      </c>
      <c r="R47" s="293"/>
      <c r="S47" s="969"/>
      <c r="T47" s="1322"/>
      <c r="U47" s="1307"/>
      <c r="V47" s="2536"/>
      <c r="W47" s="2536"/>
      <c r="X47" s="2536"/>
      <c r="Y47" s="2536"/>
      <c r="Z47" s="2536"/>
      <c r="AA47" s="2537"/>
      <c r="AB47" s="1874"/>
      <c r="AC47" s="2536"/>
      <c r="AD47" s="2536"/>
      <c r="AE47" s="2536"/>
      <c r="AF47" s="2536"/>
      <c r="AG47" s="2536"/>
      <c r="AH47" s="2536"/>
      <c r="AI47" s="2536"/>
      <c r="AJ47" s="2537"/>
      <c r="AK47" s="1308"/>
      <c r="AM47" s="1547"/>
      <c r="AN47" s="1547" t="str">
        <f t="shared" si="1"/>
        <v/>
      </c>
      <c r="AO47" s="1547"/>
      <c r="AP47" s="1547"/>
      <c r="AQ47" s="1559">
        <v>0</v>
      </c>
    </row>
    <row r="48" spans="1:43" ht="21.95" customHeight="1">
      <c r="A48" s="1190" t="s">
        <v>225</v>
      </c>
      <c r="B48" s="1190" t="s">
        <v>226</v>
      </c>
      <c r="C48" s="1190" t="s">
        <v>227</v>
      </c>
      <c r="D48" s="1190" t="s">
        <v>228</v>
      </c>
      <c r="E48" s="2531"/>
      <c r="F48" s="2531"/>
      <c r="G48" s="2531"/>
      <c r="H48" s="2531"/>
      <c r="I48" s="2350"/>
      <c r="J48" s="2350"/>
      <c r="K48" s="1855" t="str">
        <f>S45&amp;".1"</f>
        <v>....1</v>
      </c>
      <c r="L48" s="1233"/>
      <c r="P48" s="2505"/>
      <c r="Q48" s="2505"/>
      <c r="R48" s="293">
        <v>1</v>
      </c>
      <c r="S48" s="1876" t="str">
        <f>$K48</f>
        <v>....1</v>
      </c>
      <c r="T48" s="1875"/>
      <c r="U48" s="237"/>
      <c r="V48" s="686"/>
      <c r="W48" s="1180"/>
      <c r="X48" s="1869"/>
      <c r="Y48" s="1856" t="s">
        <v>63</v>
      </c>
      <c r="Z48" s="1869"/>
      <c r="AA48" s="1856" t="s">
        <v>63</v>
      </c>
      <c r="AB48" s="1878"/>
      <c r="AC48" s="1877" t="s">
        <v>22</v>
      </c>
      <c r="AD48" s="686"/>
      <c r="AE48" s="1180"/>
      <c r="AF48" s="1869"/>
      <c r="AG48" s="1856" t="s">
        <v>63</v>
      </c>
      <c r="AH48" s="1869"/>
      <c r="AI48" s="1856" t="s">
        <v>63</v>
      </c>
      <c r="AJ48" s="1271"/>
      <c r="AK48" s="2501" t="s">
        <v>495</v>
      </c>
      <c r="AL48" s="1559" t="e">
        <f ca="1">STRCHECKDATE(#REF!)</f>
        <v>#NAME?</v>
      </c>
      <c r="AM48" s="1547"/>
      <c r="AN48" s="1547" t="str">
        <f t="shared" si="1"/>
        <v/>
      </c>
      <c r="AO48" s="1547"/>
      <c r="AP48" s="1547"/>
      <c r="AQ48" s="1554">
        <v>21</v>
      </c>
    </row>
    <row r="49" spans="1:43" ht="11.45" customHeight="1">
      <c r="A49" s="1190" t="s">
        <v>225</v>
      </c>
      <c r="B49" s="1190" t="s">
        <v>226</v>
      </c>
      <c r="C49" s="1190" t="s">
        <v>227</v>
      </c>
      <c r="D49" s="1190" t="s">
        <v>228</v>
      </c>
      <c r="E49" s="2531"/>
      <c r="F49" s="2531"/>
      <c r="G49" s="2531"/>
      <c r="H49" s="2531"/>
      <c r="I49" s="2350"/>
      <c r="J49" s="2371"/>
      <c r="K49" s="1190"/>
      <c r="L49" s="1233"/>
      <c r="P49" s="2505"/>
      <c r="Q49" s="2505"/>
      <c r="R49" s="292"/>
      <c r="S49" s="1201"/>
      <c r="T49" s="224" t="s">
        <v>483</v>
      </c>
      <c r="U49" s="536"/>
      <c r="V49" s="536"/>
      <c r="W49" s="536"/>
      <c r="X49" s="536"/>
      <c r="Y49" s="536"/>
      <c r="Z49" s="536"/>
      <c r="AA49" s="261"/>
      <c r="AB49" s="536"/>
      <c r="AC49" s="536"/>
      <c r="AD49" s="536"/>
      <c r="AE49" s="536"/>
      <c r="AF49" s="536"/>
      <c r="AG49" s="536"/>
      <c r="AH49" s="536"/>
      <c r="AI49" s="536"/>
      <c r="AJ49" s="261"/>
      <c r="AK49" s="2503"/>
      <c r="AM49" s="1547"/>
      <c r="AN49" s="1547" t="str">
        <f t="shared" si="1"/>
        <v>Добавить строку</v>
      </c>
      <c r="AO49" s="1547"/>
      <c r="AP49" s="1547"/>
      <c r="AQ49" s="1554">
        <v>11</v>
      </c>
    </row>
    <row r="50" spans="1:43" s="1565" customFormat="1" ht="1.1499999999999999" customHeight="1">
      <c r="A50" s="1298" t="s">
        <v>225</v>
      </c>
      <c r="B50" s="1298" t="s">
        <v>226</v>
      </c>
      <c r="C50" s="1298" t="s">
        <v>227</v>
      </c>
      <c r="D50" s="1298" t="s">
        <v>228</v>
      </c>
      <c r="E50" s="2531"/>
      <c r="F50" s="2531"/>
      <c r="G50" s="2531"/>
      <c r="H50" s="2531"/>
      <c r="I50" s="2371"/>
      <c r="J50" s="1298"/>
      <c r="K50" s="1298"/>
      <c r="L50" s="1304"/>
      <c r="M50" s="1169"/>
      <c r="N50" s="1169"/>
      <c r="O50" s="1169"/>
      <c r="P50" s="2505"/>
      <c r="Q50" s="1868"/>
      <c r="R50" s="292"/>
      <c r="S50" s="1309"/>
      <c r="T50" s="1310" t="s">
        <v>431</v>
      </c>
      <c r="U50" s="1311"/>
      <c r="V50" s="1311"/>
      <c r="W50" s="1311"/>
      <c r="X50" s="1311"/>
      <c r="Y50" s="1311"/>
      <c r="Z50" s="1311"/>
      <c r="AA50" s="1311"/>
      <c r="AB50" s="1311"/>
      <c r="AC50" s="1311"/>
      <c r="AD50" s="1311"/>
      <c r="AE50" s="1311"/>
      <c r="AF50" s="1311"/>
      <c r="AG50" s="1311"/>
      <c r="AH50" s="1311"/>
      <c r="AI50" s="1311"/>
      <c r="AJ50" s="1311"/>
      <c r="AK50" s="1312"/>
      <c r="AM50" s="1547"/>
      <c r="AN50" s="1547" t="str">
        <f t="shared" si="1"/>
        <v>Добавить группу потребителей</v>
      </c>
      <c r="AO50" s="1547"/>
      <c r="AP50" s="1547"/>
      <c r="AQ50" s="1559">
        <v>1</v>
      </c>
    </row>
    <row r="51" spans="1:43" s="1564" customFormat="1" ht="1.1499999999999999" customHeight="1">
      <c r="A51" s="1298" t="s">
        <v>225</v>
      </c>
      <c r="B51" s="1298" t="s">
        <v>226</v>
      </c>
      <c r="C51" s="1298" t="s">
        <v>227</v>
      </c>
      <c r="D51" s="1298" t="s">
        <v>228</v>
      </c>
      <c r="E51" s="2531"/>
      <c r="F51" s="2531"/>
      <c r="G51" s="2531"/>
      <c r="H51" s="2530"/>
      <c r="I51" s="1298"/>
      <c r="J51" s="1298"/>
      <c r="K51" s="1298"/>
      <c r="L51" s="1304"/>
      <c r="M51" s="1301"/>
      <c r="N51" s="1301"/>
      <c r="O51" s="287"/>
      <c r="P51" s="316"/>
      <c r="Q51" s="1267"/>
      <c r="R51" s="1323"/>
      <c r="S51" s="1309"/>
      <c r="T51" s="1310"/>
      <c r="U51" s="1311"/>
      <c r="V51" s="1311"/>
      <c r="W51" s="1311"/>
      <c r="X51" s="1311"/>
      <c r="Y51" s="1311"/>
      <c r="Z51" s="1311"/>
      <c r="AA51" s="1311"/>
      <c r="AB51" s="1311"/>
      <c r="AC51" s="1311"/>
      <c r="AD51" s="1311"/>
      <c r="AE51" s="1311"/>
      <c r="AF51" s="1311"/>
      <c r="AG51" s="1311"/>
      <c r="AH51" s="1311"/>
      <c r="AI51" s="1311"/>
      <c r="AJ51" s="1311"/>
      <c r="AK51" s="1312"/>
      <c r="AL51" s="1559"/>
      <c r="AM51" s="1547"/>
      <c r="AN51" s="1547" t="str">
        <f t="shared" si="1"/>
        <v/>
      </c>
      <c r="AO51" s="1547"/>
      <c r="AP51" s="1547"/>
      <c r="AQ51" s="1564">
        <v>1</v>
      </c>
    </row>
    <row r="52" spans="1:43" s="1565" customFormat="1" ht="1.1499999999999999" customHeight="1">
      <c r="A52" s="1298" t="s">
        <v>225</v>
      </c>
      <c r="B52" s="1298" t="s">
        <v>226</v>
      </c>
      <c r="C52" s="1298" t="s">
        <v>227</v>
      </c>
      <c r="D52" s="1297"/>
      <c r="E52" s="2531"/>
      <c r="F52" s="2531"/>
      <c r="G52" s="2530"/>
      <c r="H52" s="1297"/>
      <c r="I52" s="1297"/>
      <c r="J52" s="1297"/>
      <c r="K52" s="1297"/>
      <c r="L52" s="1300"/>
      <c r="M52" s="1301"/>
      <c r="N52" s="1301"/>
      <c r="O52" s="287"/>
      <c r="P52" s="1239"/>
      <c r="Q52" s="1240"/>
      <c r="R52" s="1239"/>
      <c r="S52" s="1245"/>
      <c r="T52" s="1248" t="s">
        <v>433</v>
      </c>
      <c r="U52" s="1247"/>
      <c r="V52" s="1247"/>
      <c r="W52" s="1247"/>
      <c r="X52" s="1247"/>
      <c r="Y52" s="1247"/>
      <c r="Z52" s="1247"/>
      <c r="AA52" s="1247"/>
      <c r="AB52" s="1247"/>
      <c r="AC52" s="1247"/>
      <c r="AD52" s="1247"/>
      <c r="AE52" s="1247"/>
      <c r="AF52" s="1247"/>
      <c r="AG52" s="1247"/>
      <c r="AH52" s="1247"/>
      <c r="AI52" s="1247"/>
      <c r="AJ52" s="1247"/>
      <c r="AK52" s="1247"/>
      <c r="AM52" s="1174"/>
      <c r="AN52" s="1174" t="str">
        <f t="shared" si="1"/>
        <v>Добавить источник для дифференциации</v>
      </c>
      <c r="AO52" s="1174"/>
      <c r="AP52" s="1174"/>
      <c r="AQ52" s="1565">
        <v>1</v>
      </c>
    </row>
    <row r="53" spans="1:43" s="1565" customFormat="1" ht="1.1499999999999999" customHeight="1">
      <c r="A53" s="1298" t="s">
        <v>225</v>
      </c>
      <c r="B53" s="1298" t="s">
        <v>226</v>
      </c>
      <c r="C53" s="1297"/>
      <c r="D53" s="1297"/>
      <c r="E53" s="2531"/>
      <c r="F53" s="2530"/>
      <c r="G53" s="1297"/>
      <c r="H53" s="1297"/>
      <c r="I53" s="1297"/>
      <c r="J53" s="1297"/>
      <c r="K53" s="1297"/>
      <c r="L53" s="1300"/>
      <c r="M53" s="1302"/>
      <c r="N53" s="1302"/>
      <c r="O53" s="287"/>
      <c r="P53" s="1239"/>
      <c r="Q53" s="1240"/>
      <c r="R53" s="1239"/>
      <c r="S53" s="1245"/>
      <c r="T53" s="1248" t="s">
        <v>434</v>
      </c>
      <c r="U53" s="1247"/>
      <c r="V53" s="1247"/>
      <c r="W53" s="1247"/>
      <c r="X53" s="1247"/>
      <c r="Y53" s="1247"/>
      <c r="Z53" s="1247"/>
      <c r="AA53" s="1247"/>
      <c r="AB53" s="1247"/>
      <c r="AC53" s="1247"/>
      <c r="AD53" s="1247"/>
      <c r="AE53" s="1247"/>
      <c r="AF53" s="1247"/>
      <c r="AG53" s="1247"/>
      <c r="AH53" s="1247"/>
      <c r="AI53" s="1247"/>
      <c r="AJ53" s="1247"/>
      <c r="AK53" s="1247"/>
      <c r="AM53" s="1174"/>
      <c r="AN53" s="1174" t="str">
        <f t="shared" si="1"/>
        <v>Добавить централизованную систему для дифференциации</v>
      </c>
      <c r="AO53" s="1174"/>
      <c r="AP53" s="1174"/>
      <c r="AQ53" s="1565">
        <v>1</v>
      </c>
    </row>
    <row r="54" spans="1:43" s="1565" customFormat="1" ht="1.1499999999999999" customHeight="1">
      <c r="A54" s="1298" t="s">
        <v>225</v>
      </c>
      <c r="B54" s="1298"/>
      <c r="C54" s="1298"/>
      <c r="D54" s="1298"/>
      <c r="E54" s="2531"/>
      <c r="F54" s="1298"/>
      <c r="G54" s="1298"/>
      <c r="H54" s="1298"/>
      <c r="I54" s="1298"/>
      <c r="J54" s="1298"/>
      <c r="K54" s="1298"/>
      <c r="L54" s="1304"/>
      <c r="M54" s="1302"/>
      <c r="N54" s="1302"/>
      <c r="O54" s="287"/>
      <c r="P54" s="316"/>
      <c r="Q54" s="1267"/>
      <c r="R54" s="316"/>
      <c r="S54" s="1245"/>
      <c r="T54" s="1248" t="s">
        <v>435</v>
      </c>
      <c r="U54" s="1247"/>
      <c r="V54" s="1247"/>
      <c r="W54" s="1247"/>
      <c r="X54" s="1247"/>
      <c r="Y54" s="1247"/>
      <c r="Z54" s="1247"/>
      <c r="AA54" s="1247"/>
      <c r="AB54" s="1247"/>
      <c r="AC54" s="1247"/>
      <c r="AD54" s="1247"/>
      <c r="AE54" s="1247"/>
      <c r="AF54" s="1247"/>
      <c r="AG54" s="1247"/>
      <c r="AH54" s="1247"/>
      <c r="AI54" s="1247"/>
      <c r="AJ54" s="1247"/>
      <c r="AK54" s="1247"/>
      <c r="AM54" s="1547"/>
      <c r="AN54" s="1547" t="str">
        <f t="shared" si="1"/>
        <v>Добавить территорию для дифференциации</v>
      </c>
      <c r="AO54" s="1547"/>
      <c r="AP54" s="1547"/>
      <c r="AQ54" s="1559">
        <v>1</v>
      </c>
    </row>
    <row r="55" spans="1:43" s="1565" customFormat="1" ht="1.1499999999999999" customHeight="1">
      <c r="A55" s="1298" t="s">
        <v>225</v>
      </c>
      <c r="B55" s="1298"/>
      <c r="C55" s="1298"/>
      <c r="D55" s="1298"/>
      <c r="E55" s="2530"/>
      <c r="F55" s="1298"/>
      <c r="G55" s="1298"/>
      <c r="H55" s="1298"/>
      <c r="I55" s="1298"/>
      <c r="J55" s="1298"/>
      <c r="K55" s="1298"/>
      <c r="L55" s="1304"/>
      <c r="M55" s="1302"/>
      <c r="N55" s="1302"/>
      <c r="O55" s="287"/>
      <c r="P55" s="316"/>
      <c r="Q55" s="1267"/>
      <c r="R55" s="316"/>
      <c r="S55" s="1245"/>
      <c r="T55" s="1248" t="s">
        <v>435</v>
      </c>
      <c r="U55" s="1247"/>
      <c r="V55" s="1247"/>
      <c r="W55" s="1247"/>
      <c r="X55" s="1247"/>
      <c r="Y55" s="1247"/>
      <c r="Z55" s="1247"/>
      <c r="AA55" s="1247"/>
      <c r="AB55" s="1247"/>
      <c r="AC55" s="1247"/>
      <c r="AD55" s="1247"/>
      <c r="AE55" s="1247"/>
      <c r="AF55" s="1247"/>
      <c r="AG55" s="1247"/>
      <c r="AH55" s="1247"/>
      <c r="AI55" s="1247"/>
      <c r="AJ55" s="1247"/>
      <c r="AK55" s="1247"/>
      <c r="AM55" s="1547"/>
      <c r="AN55" s="1547" t="str">
        <f t="shared" si="1"/>
        <v>Добавить территорию для дифференциации</v>
      </c>
      <c r="AO55" s="1547"/>
      <c r="AP55" s="1547"/>
      <c r="AQ55" s="1559">
        <v>1</v>
      </c>
    </row>
    <row r="56" spans="1:43" s="1565" customFormat="1" ht="1.1499999999999999" customHeight="1">
      <c r="A56" s="1297"/>
      <c r="B56" s="1297"/>
      <c r="C56" s="1297"/>
      <c r="D56" s="1297"/>
      <c r="E56" s="1298"/>
      <c r="F56" s="1297"/>
      <c r="G56" s="1297"/>
      <c r="H56" s="1297"/>
      <c r="I56" s="1297"/>
      <c r="J56" s="1297"/>
      <c r="K56" s="1297"/>
      <c r="L56" s="1300"/>
      <c r="M56" s="1302"/>
      <c r="N56" s="1302"/>
      <c r="O56" s="287"/>
      <c r="P56" s="1239"/>
      <c r="Q56" s="1240"/>
      <c r="R56" s="1239"/>
      <c r="S56" s="1245"/>
      <c r="T56" s="1248" t="s">
        <v>463</v>
      </c>
      <c r="U56" s="1247"/>
      <c r="V56" s="1247"/>
      <c r="W56" s="1247"/>
      <c r="X56" s="1247"/>
      <c r="Y56" s="1247"/>
      <c r="Z56" s="1247"/>
      <c r="AA56" s="1247"/>
      <c r="AB56" s="1247"/>
      <c r="AC56" s="1247"/>
      <c r="AD56" s="1247"/>
      <c r="AE56" s="1247"/>
      <c r="AF56" s="1247"/>
      <c r="AG56" s="1247"/>
      <c r="AH56" s="1247"/>
      <c r="AI56" s="1247"/>
      <c r="AJ56" s="1247"/>
      <c r="AK56" s="1247"/>
      <c r="AM56" s="1174"/>
      <c r="AN56" s="1174" t="str">
        <f t="shared" si="1"/>
        <v>Добавить наименование тарифа</v>
      </c>
      <c r="AO56" s="1174"/>
      <c r="AP56" s="1174"/>
      <c r="AQ56" s="1565">
        <v>1</v>
      </c>
    </row>
    <row r="57" spans="1:43" ht="11.45" customHeight="1">
      <c r="M57" s="1554"/>
      <c r="N57" s="1554"/>
      <c r="O57" s="1558"/>
      <c r="P57" s="1289"/>
      <c r="Q57" s="1289"/>
      <c r="R57" s="1554"/>
      <c r="S57" s="1554"/>
      <c r="AL57" s="1554"/>
      <c r="AM57" s="1554"/>
      <c r="AN57" s="1554"/>
      <c r="AO57" s="1554"/>
      <c r="AP57" s="1554"/>
      <c r="AQ57" s="1554">
        <v>11</v>
      </c>
    </row>
    <row r="58" spans="1:43" ht="19.899999999999999" customHeight="1">
      <c r="O58" s="1558"/>
      <c r="S58" s="1176"/>
      <c r="T58" s="2526"/>
      <c r="U58" s="2526"/>
      <c r="V58" s="2526"/>
      <c r="W58" s="2526"/>
      <c r="X58" s="2526"/>
      <c r="Y58" s="2526"/>
      <c r="Z58" s="2526"/>
      <c r="AA58" s="2526"/>
      <c r="AB58" s="2526"/>
      <c r="AC58" s="2526"/>
      <c r="AD58" s="2526"/>
      <c r="AE58" s="2526"/>
      <c r="AF58" s="2526"/>
      <c r="AG58" s="2526"/>
      <c r="AH58" s="2526"/>
      <c r="AI58" s="2526"/>
      <c r="AJ58" s="2526"/>
      <c r="AK58" s="2526"/>
      <c r="AQ58" s="1554">
        <v>19</v>
      </c>
    </row>
    <row r="59" spans="1:43" ht="21" customHeight="1">
      <c r="O59" s="1558"/>
      <c r="T59" s="2526"/>
      <c r="U59" s="2526"/>
      <c r="V59" s="2526"/>
      <c r="W59" s="2526"/>
      <c r="X59" s="2526"/>
      <c r="Y59" s="2526"/>
      <c r="Z59" s="2526"/>
      <c r="AA59" s="2526"/>
      <c r="AB59" s="2526"/>
      <c r="AC59" s="2526"/>
      <c r="AD59" s="2526"/>
      <c r="AE59" s="2526"/>
      <c r="AF59" s="2526"/>
      <c r="AG59" s="2526"/>
      <c r="AH59" s="2526"/>
      <c r="AI59" s="2526"/>
      <c r="AJ59" s="2526"/>
      <c r="AK59" s="2526"/>
      <c r="AQ59" s="1554">
        <v>20</v>
      </c>
    </row>
    <row r="60" spans="1:43" ht="14.65" customHeight="1">
      <c r="O60" s="1558"/>
      <c r="T60" s="1867"/>
      <c r="U60" s="1867"/>
      <c r="V60" s="1867"/>
      <c r="W60" s="1867"/>
      <c r="X60" s="1867"/>
      <c r="Y60" s="1867"/>
      <c r="Z60" s="1867"/>
      <c r="AA60" s="1867"/>
      <c r="AB60" s="1867"/>
      <c r="AC60" s="1867"/>
      <c r="AD60" s="1867"/>
      <c r="AE60" s="1867"/>
      <c r="AF60" s="1867"/>
      <c r="AG60" s="1867"/>
      <c r="AH60" s="1867"/>
      <c r="AI60" s="1867"/>
      <c r="AJ60" s="1867"/>
      <c r="AK60" s="1867"/>
      <c r="AQ60" s="1554">
        <v>14</v>
      </c>
    </row>
    <row r="61" spans="1:43" ht="19.899999999999999" customHeight="1">
      <c r="O61" s="1558"/>
      <c r="T61" s="2526"/>
      <c r="U61" s="2526"/>
      <c r="V61" s="2526"/>
      <c r="W61" s="2526"/>
      <c r="X61" s="2526"/>
      <c r="Y61" s="2526"/>
      <c r="Z61" s="2526"/>
      <c r="AA61" s="2526"/>
      <c r="AB61" s="2526"/>
      <c r="AC61" s="2526"/>
      <c r="AD61" s="2526"/>
      <c r="AE61" s="2526"/>
      <c r="AF61" s="2526"/>
      <c r="AG61" s="2526"/>
      <c r="AH61" s="2526"/>
      <c r="AI61" s="2526"/>
      <c r="AJ61" s="2526"/>
      <c r="AK61" s="2526"/>
      <c r="AQ61" s="1554">
        <v>19</v>
      </c>
    </row>
    <row r="62" spans="1:43" ht="16.899999999999999" customHeight="1">
      <c r="O62" s="1558"/>
      <c r="T62" s="2526"/>
      <c r="U62" s="2526"/>
      <c r="V62" s="2526"/>
      <c r="W62" s="2526"/>
      <c r="X62" s="2526"/>
      <c r="Y62" s="2526"/>
      <c r="Z62" s="2526"/>
      <c r="AA62" s="2526"/>
      <c r="AB62" s="2526"/>
      <c r="AC62" s="2526"/>
      <c r="AD62" s="2526"/>
      <c r="AE62" s="2526"/>
      <c r="AF62" s="2526"/>
      <c r="AG62" s="2526"/>
      <c r="AH62" s="2526"/>
      <c r="AI62" s="2526"/>
      <c r="AJ62" s="2526"/>
      <c r="AK62" s="2526"/>
      <c r="AQ62" s="1554">
        <v>16</v>
      </c>
    </row>
    <row r="63" spans="1:43" ht="14.65" customHeight="1">
      <c r="O63" s="1558"/>
      <c r="AQ63" s="1554">
        <v>14</v>
      </c>
    </row>
    <row r="64" spans="1:43" ht="22.5" hidden="1" customHeight="1">
      <c r="A64" s="1554" t="s">
        <v>83</v>
      </c>
      <c r="B64" s="1554">
        <v>0</v>
      </c>
      <c r="C64" s="1554">
        <v>0</v>
      </c>
      <c r="D64" s="1554">
        <v>0</v>
      </c>
      <c r="E64" s="1554">
        <v>0</v>
      </c>
      <c r="F64" s="1554">
        <v>0</v>
      </c>
      <c r="G64" s="1554">
        <v>0</v>
      </c>
      <c r="H64" s="1554">
        <v>0</v>
      </c>
      <c r="I64" s="1554">
        <v>0</v>
      </c>
      <c r="J64" s="1554">
        <v>0</v>
      </c>
      <c r="K64" s="1554">
        <v>0</v>
      </c>
      <c r="L64" s="1853">
        <v>0</v>
      </c>
      <c r="M64" s="1879">
        <v>0</v>
      </c>
      <c r="N64" s="1879">
        <v>0</v>
      </c>
      <c r="O64" s="1879">
        <v>0</v>
      </c>
      <c r="P64" s="1285">
        <v>3</v>
      </c>
      <c r="Q64" s="1294">
        <v>3</v>
      </c>
      <c r="R64" s="281">
        <v>3</v>
      </c>
      <c r="S64" s="517">
        <v>12</v>
      </c>
      <c r="T64" s="1554">
        <v>31</v>
      </c>
      <c r="U64" s="1554">
        <v>0</v>
      </c>
      <c r="V64" s="1554">
        <v>0</v>
      </c>
      <c r="W64" s="1554">
        <v>0</v>
      </c>
      <c r="X64" s="1554">
        <v>0</v>
      </c>
      <c r="Y64" s="1554">
        <v>0</v>
      </c>
      <c r="Z64" s="1554">
        <v>0</v>
      </c>
      <c r="AA64" s="1554">
        <v>0</v>
      </c>
      <c r="AB64" s="1554">
        <v>27</v>
      </c>
      <c r="AC64" s="1554">
        <v>24</v>
      </c>
      <c r="AD64" s="1554">
        <v>21</v>
      </c>
      <c r="AE64" s="1554">
        <v>21</v>
      </c>
      <c r="AF64" s="1554">
        <v>11</v>
      </c>
      <c r="AG64" s="1554">
        <v>3</v>
      </c>
      <c r="AH64" s="1554">
        <v>11</v>
      </c>
      <c r="AI64" s="1554">
        <v>8</v>
      </c>
      <c r="AJ64" s="1554">
        <v>4</v>
      </c>
      <c r="AK64" s="1554">
        <v>115</v>
      </c>
      <c r="AL64" s="1559">
        <v>10</v>
      </c>
      <c r="AM64" s="1559">
        <v>10</v>
      </c>
      <c r="AN64" s="1559">
        <v>10</v>
      </c>
      <c r="AO64" s="1559">
        <v>10</v>
      </c>
      <c r="AP64" s="1559">
        <v>10</v>
      </c>
      <c r="AQ64" s="1554">
        <v>23</v>
      </c>
    </row>
  </sheetData>
  <sheetProtection insertRows="0" deleteColumns="0" deleteRows="0" sort="0" autoFilter="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4.140625" style="1289" hidden="1" customWidth="1"/>
    <col min="10" max="10" width="9.85546875" style="1289" hidden="1" customWidth="1"/>
    <col min="11" max="11" width="14.7109375" style="1289" hidden="1" customWidth="1"/>
    <col min="12" max="12" width="19.140625" style="2043" hidden="1" customWidth="1"/>
    <col min="13" max="14" width="12.28515625" style="1696" hidden="1" customWidth="1"/>
    <col min="15" max="15" width="23.42578125" style="1696" hidden="1" customWidth="1"/>
    <col min="16" max="16" width="3" style="2032" customWidth="1"/>
    <col min="17" max="18" width="3" style="281" customWidth="1"/>
    <col min="19" max="19" width="12" style="2033" customWidth="1"/>
    <col min="20" max="20" width="35" style="1558" customWidth="1"/>
    <col min="21" max="21" width="0.140625" style="1558" customWidth="1"/>
    <col min="22" max="24" width="24.7109375" style="1558" hidden="1" customWidth="1"/>
    <col min="25" max="25" width="11.7109375" style="1558" hidden="1" customWidth="1"/>
    <col min="26" max="26" width="3.7109375" style="1558" hidden="1" customWidth="1"/>
    <col min="27" max="27" width="11.7109375" style="1558" hidden="1" customWidth="1"/>
    <col min="28" max="28" width="8.5703125" style="1558" hidden="1" customWidth="1"/>
    <col min="29" max="29" width="24.7109375" style="1558" customWidth="1"/>
    <col min="30" max="31" width="24" style="1558" customWidth="1"/>
    <col min="32" max="32" width="11" style="1558" customWidth="1"/>
    <col min="33" max="33" width="3.7109375" style="1558" customWidth="1"/>
    <col min="34" max="34" width="11" style="1558" customWidth="1"/>
    <col min="35" max="35" width="8.5703125" style="1558" hidden="1" customWidth="1"/>
    <col min="36" max="36" width="4" style="1558" customWidth="1"/>
    <col min="37" max="37" width="115" style="1558" customWidth="1"/>
    <col min="38" max="42" width="10" style="1565" customWidth="1"/>
    <col min="43" max="43" width="10.5703125" style="1558" hidden="1"/>
  </cols>
  <sheetData>
    <row r="1" spans="1:43" ht="22.5" hidden="1" customHeight="1">
      <c r="X1" s="264"/>
      <c r="Y1" s="264"/>
      <c r="AE1" s="264"/>
      <c r="AF1" s="264"/>
      <c r="AQ1" s="1078" t="s">
        <v>14</v>
      </c>
    </row>
    <row r="2" spans="1:43" ht="23.25" hidden="1" customHeight="1">
      <c r="A2" s="1286"/>
      <c r="B2" s="1286"/>
      <c r="C2" s="1286"/>
      <c r="D2" s="1286"/>
      <c r="E2" s="2506">
        <v>1</v>
      </c>
      <c r="F2" s="1286"/>
      <c r="G2" s="1286"/>
      <c r="H2" s="1286"/>
      <c r="I2" s="1286"/>
      <c r="J2" s="1286"/>
      <c r="K2" s="1286"/>
      <c r="L2" s="1287"/>
      <c r="M2" s="1288"/>
      <c r="N2" s="1288"/>
      <c r="O2" s="1288"/>
      <c r="P2" s="297"/>
      <c r="Q2" s="296"/>
      <c r="R2" s="291"/>
      <c r="S2" s="1348" t="e">
        <f>INDEX(PT_DIFFERENTIATION_NUM_NTAR,MATCH(A2,PT_DIFFERENTIATION_NTAR_ID,0))</f>
        <v>#N/A</v>
      </c>
      <c r="T2" s="235" t="s">
        <v>144</v>
      </c>
      <c r="U2" s="237"/>
      <c r="V2" s="2492"/>
      <c r="W2" s="2493"/>
      <c r="X2" s="2493"/>
      <c r="Y2" s="2493"/>
      <c r="Z2" s="2493"/>
      <c r="AA2" s="2493"/>
      <c r="AB2" s="2494"/>
      <c r="AC2" s="2492" t="e">
        <f>INDEX(PT_DIFFERENTIATION_NTAR,MATCH(A2,PT_DIFFERENTIATION_NTAR_ID,0))</f>
        <v>#N/A</v>
      </c>
      <c r="AD2" s="2493"/>
      <c r="AE2" s="2493"/>
      <c r="AF2" s="2493"/>
      <c r="AG2" s="2493"/>
      <c r="AH2" s="2493"/>
      <c r="AI2" s="2493"/>
      <c r="AJ2" s="2494"/>
      <c r="AK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8">
        <v>0</v>
      </c>
    </row>
    <row r="3" spans="1:43" ht="23.25" hidden="1" customHeight="1">
      <c r="A3" s="1286"/>
      <c r="B3" s="1286"/>
      <c r="C3" s="1286"/>
      <c r="D3" s="1286"/>
      <c r="E3" s="2507"/>
      <c r="F3" s="2506">
        <v>1</v>
      </c>
      <c r="G3" s="1286"/>
      <c r="H3" s="1286"/>
      <c r="I3" s="1286"/>
      <c r="J3" s="1286"/>
      <c r="K3" s="1286"/>
      <c r="L3" s="1287"/>
      <c r="M3" s="1288"/>
      <c r="N3" s="1288"/>
      <c r="O3" s="1288"/>
      <c r="P3" s="1346"/>
      <c r="Q3" s="288"/>
      <c r="R3" s="289"/>
      <c r="S3" s="1348" t="e">
        <f>INDEX(PT_DIFFERENTIATION_NUM_TER,MATCH(B3,PT_DIFFERENTIATION_TER_ID,0))</f>
        <v>#N/A</v>
      </c>
      <c r="T3" s="245" t="s">
        <v>416</v>
      </c>
      <c r="U3" s="237"/>
      <c r="V3" s="2492"/>
      <c r="W3" s="2493"/>
      <c r="X3" s="2493"/>
      <c r="Y3" s="2493"/>
      <c r="Z3" s="2493"/>
      <c r="AA3" s="2493"/>
      <c r="AB3" s="2494"/>
      <c r="AC3" s="2492" t="e">
        <f>INDEX(PT_DIFFERENTIATION_TER,MATCH(B3,PT_DIFFERENTIATION_TER_ID,0))</f>
        <v>#N/A</v>
      </c>
      <c r="AD3" s="2493"/>
      <c r="AE3" s="2493"/>
      <c r="AF3" s="2493"/>
      <c r="AG3" s="2493"/>
      <c r="AH3" s="2493"/>
      <c r="AI3" s="2493"/>
      <c r="AJ3" s="2494"/>
      <c r="AK3" s="1181" t="s">
        <v>417</v>
      </c>
      <c r="AM3" s="436"/>
      <c r="AN3" s="436" t="str">
        <f t="shared" si="0"/>
        <v>Территория действия тарифа</v>
      </c>
      <c r="AO3" s="436"/>
      <c r="AP3" s="436"/>
      <c r="AQ3" s="1078">
        <v>0</v>
      </c>
    </row>
    <row r="4" spans="1:43" ht="23.25" hidden="1" customHeight="1">
      <c r="A4" s="1286"/>
      <c r="B4" s="1286"/>
      <c r="C4" s="1286"/>
      <c r="D4" s="1286"/>
      <c r="E4" s="2507"/>
      <c r="F4" s="2507"/>
      <c r="G4" s="2506">
        <v>1</v>
      </c>
      <c r="H4" s="1286"/>
      <c r="I4" s="1286"/>
      <c r="J4" s="1286"/>
      <c r="K4" s="1286"/>
      <c r="L4" s="1287"/>
      <c r="M4" s="1288"/>
      <c r="N4" s="1288"/>
      <c r="O4" s="1288"/>
      <c r="P4" s="290"/>
      <c r="Q4" s="288"/>
      <c r="R4" s="289"/>
      <c r="S4" s="1348" t="e">
        <f>INDEX(PT_DIFFERENTIATION_NUM_CS,MATCH(C4,PT_DIFFERENTIATION_CS_ID,0))</f>
        <v>#N/A</v>
      </c>
      <c r="T4" s="246" t="s">
        <v>498</v>
      </c>
      <c r="U4" s="237"/>
      <c r="V4" s="2492"/>
      <c r="W4" s="2493"/>
      <c r="X4" s="2493"/>
      <c r="Y4" s="2493"/>
      <c r="Z4" s="2493"/>
      <c r="AA4" s="2493"/>
      <c r="AB4" s="2494"/>
      <c r="AC4" s="2492" t="e">
        <f>INDEX(PT_DIFFERENTIATION_CS,MATCH(C4,PT_DIFFERENTIATION_CS_ID,0))</f>
        <v>#N/A</v>
      </c>
      <c r="AD4" s="2493"/>
      <c r="AE4" s="2493"/>
      <c r="AF4" s="2493"/>
      <c r="AG4" s="2493"/>
      <c r="AH4" s="2493"/>
      <c r="AI4" s="2493"/>
      <c r="AJ4" s="2494"/>
      <c r="AK4" s="1181" t="s">
        <v>499</v>
      </c>
      <c r="AM4" s="436"/>
      <c r="AN4" s="436" t="str">
        <f t="shared" si="0"/>
        <v>Наименование централизованной системы холодного водоснабжения</v>
      </c>
      <c r="AO4" s="436"/>
      <c r="AP4" s="436"/>
      <c r="AQ4" s="1078">
        <v>0</v>
      </c>
    </row>
    <row r="5" spans="1:43" ht="23.25" hidden="1" customHeight="1">
      <c r="A5" s="1286"/>
      <c r="B5" s="1286"/>
      <c r="C5" s="1286"/>
      <c r="D5" s="1286"/>
      <c r="E5" s="2507"/>
      <c r="F5" s="2507"/>
      <c r="G5" s="2507"/>
      <c r="H5" s="2507"/>
      <c r="I5" s="2504" t="e">
        <f>S4&amp;".1"</f>
        <v>#N/A</v>
      </c>
      <c r="J5" s="1286"/>
      <c r="K5" s="1286"/>
      <c r="L5" s="1287"/>
      <c r="P5" s="2505">
        <v>1</v>
      </c>
      <c r="Q5" s="1345"/>
      <c r="R5" s="292"/>
      <c r="S5" s="1348" t="e">
        <f>$I5</f>
        <v>#N/A</v>
      </c>
      <c r="T5" s="222" t="s">
        <v>500</v>
      </c>
      <c r="U5" s="237"/>
      <c r="V5" s="2576"/>
      <c r="W5" s="2577"/>
      <c r="X5" s="2577"/>
      <c r="Y5" s="2577"/>
      <c r="Z5" s="2577"/>
      <c r="AA5" s="2577"/>
      <c r="AB5" s="2578"/>
      <c r="AC5" s="2579"/>
      <c r="AD5" s="2580"/>
      <c r="AE5" s="2580"/>
      <c r="AF5" s="2580"/>
      <c r="AG5" s="2580"/>
      <c r="AH5" s="2580"/>
      <c r="AI5" s="2580"/>
      <c r="AJ5" s="2581"/>
      <c r="AK5" s="1181" t="s">
        <v>501</v>
      </c>
      <c r="AM5" s="436"/>
      <c r="AN5" s="436" t="str">
        <f t="shared" si="0"/>
        <v>Наименование признака дифференциации</v>
      </c>
      <c r="AO5" s="436"/>
      <c r="AP5" s="436"/>
      <c r="AQ5" s="1078">
        <v>0</v>
      </c>
    </row>
    <row r="6" spans="1:43" ht="23.25" hidden="1" customHeight="1">
      <c r="A6" s="1286"/>
      <c r="B6" s="1286"/>
      <c r="C6" s="1286"/>
      <c r="D6" s="1286"/>
      <c r="E6" s="2507"/>
      <c r="F6" s="2507"/>
      <c r="G6" s="2507"/>
      <c r="H6" s="2507"/>
      <c r="I6" s="2527"/>
      <c r="J6" s="2504" t="e">
        <f>I5&amp;".1"</f>
        <v>#N/A</v>
      </c>
      <c r="K6" s="1286"/>
      <c r="L6" s="1287" t="s">
        <v>425</v>
      </c>
      <c r="P6" s="2505"/>
      <c r="Q6" s="2505">
        <v>1</v>
      </c>
      <c r="R6" s="293"/>
      <c r="S6" s="1348" t="e">
        <f>$J6</f>
        <v>#N/A</v>
      </c>
      <c r="T6" s="223" t="s">
        <v>426</v>
      </c>
      <c r="U6" s="237"/>
      <c r="V6" s="2495"/>
      <c r="W6" s="2496"/>
      <c r="X6" s="2496"/>
      <c r="Y6" s="2496"/>
      <c r="Z6" s="2496"/>
      <c r="AA6" s="2496"/>
      <c r="AB6" s="2497"/>
      <c r="AC6" s="2495"/>
      <c r="AD6" s="2496"/>
      <c r="AE6" s="2496"/>
      <c r="AF6" s="2496"/>
      <c r="AG6" s="2496"/>
      <c r="AH6" s="2496"/>
      <c r="AI6" s="2496"/>
      <c r="AJ6" s="2497"/>
      <c r="AK6" s="1230" t="s">
        <v>502</v>
      </c>
      <c r="AM6" s="436"/>
      <c r="AN6" s="436" t="str">
        <f t="shared" si="0"/>
        <v>Группа потребителей</v>
      </c>
      <c r="AO6" s="436"/>
      <c r="AP6" s="436"/>
      <c r="AQ6" s="1078">
        <v>0</v>
      </c>
    </row>
    <row r="7" spans="1:43" ht="23.25" hidden="1" customHeight="1">
      <c r="A7" s="1286"/>
      <c r="B7" s="1286"/>
      <c r="C7" s="1286"/>
      <c r="D7" s="1286"/>
      <c r="E7" s="2507"/>
      <c r="F7" s="2507"/>
      <c r="G7" s="2507"/>
      <c r="H7" s="2507"/>
      <c r="I7" s="2527"/>
      <c r="J7" s="2527"/>
      <c r="K7" s="2504" t="e">
        <f>J6&amp;".1"</f>
        <v>#N/A</v>
      </c>
      <c r="L7" s="1287"/>
      <c r="P7" s="2505"/>
      <c r="Q7" s="2505"/>
      <c r="R7" s="293">
        <v>1</v>
      </c>
      <c r="S7" s="1348" t="e">
        <f>$K7</f>
        <v>#N/A</v>
      </c>
      <c r="T7" s="1360"/>
      <c r="U7" s="237"/>
      <c r="V7" s="686"/>
      <c r="W7" s="686"/>
      <c r="X7" s="1180"/>
      <c r="Y7" s="2509"/>
      <c r="Z7" s="2360" t="s">
        <v>63</v>
      </c>
      <c r="AA7" s="2509"/>
      <c r="AB7" s="2360" t="s">
        <v>63</v>
      </c>
      <c r="AC7" s="686"/>
      <c r="AD7" s="686"/>
      <c r="AE7" s="1180"/>
      <c r="AF7" s="2509"/>
      <c r="AG7" s="2360" t="s">
        <v>63</v>
      </c>
      <c r="AH7" s="2528"/>
      <c r="AI7" s="2360" t="s">
        <v>63</v>
      </c>
      <c r="AJ7" s="1361"/>
      <c r="AK7" s="257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8">
        <v>0</v>
      </c>
    </row>
    <row r="8" spans="1:43" ht="14.25" hidden="1" customHeight="1">
      <c r="A8" s="1286"/>
      <c r="B8" s="1286"/>
      <c r="C8" s="1286"/>
      <c r="D8" s="1286"/>
      <c r="E8" s="2507"/>
      <c r="F8" s="2507"/>
      <c r="G8" s="2507"/>
      <c r="H8" s="2507"/>
      <c r="I8" s="2527"/>
      <c r="J8" s="2527"/>
      <c r="K8" s="2504"/>
      <c r="L8" s="1287"/>
      <c r="P8" s="2505"/>
      <c r="Q8" s="2505"/>
      <c r="R8" s="293"/>
      <c r="S8" s="1347"/>
      <c r="T8" s="237"/>
      <c r="U8" s="237"/>
      <c r="V8" s="262"/>
      <c r="W8" s="262"/>
      <c r="X8" s="265" t="str">
        <f>Y7&amp;"-"&amp;AA7</f>
        <v>-</v>
      </c>
      <c r="Y8" s="2510"/>
      <c r="Z8" s="2360"/>
      <c r="AA8" s="2510"/>
      <c r="AB8" s="2360"/>
      <c r="AC8" s="262"/>
      <c r="AD8" s="262"/>
      <c r="AE8" s="265" t="str">
        <f>AF7&amp;"-"&amp;AH7</f>
        <v>-</v>
      </c>
      <c r="AF8" s="2510"/>
      <c r="AG8" s="2360"/>
      <c r="AH8" s="2529"/>
      <c r="AI8" s="2360"/>
      <c r="AJ8" s="1362"/>
      <c r="AK8" s="2575"/>
      <c r="AM8" s="436"/>
      <c r="AN8" s="436" t="str">
        <f t="shared" si="0"/>
        <v/>
      </c>
      <c r="AO8" s="436"/>
      <c r="AP8" s="436"/>
      <c r="AQ8" s="1078">
        <v>0</v>
      </c>
    </row>
    <row r="9" spans="1:43" ht="21" hidden="1" customHeight="1">
      <c r="A9" s="1286"/>
      <c r="B9" s="1286"/>
      <c r="C9" s="1286"/>
      <c r="D9" s="1286"/>
      <c r="E9" s="2507"/>
      <c r="F9" s="2507"/>
      <c r="G9" s="2507"/>
      <c r="H9" s="2507"/>
      <c r="I9" s="2527"/>
      <c r="J9" s="2504"/>
      <c r="K9" s="1286"/>
      <c r="L9" s="1287"/>
      <c r="P9" s="2505"/>
      <c r="Q9" s="2505"/>
      <c r="R9" s="292"/>
      <c r="S9" s="1201"/>
      <c r="T9" s="224" t="s">
        <v>503</v>
      </c>
      <c r="U9" s="303"/>
      <c r="V9" s="303"/>
      <c r="W9" s="303"/>
      <c r="X9" s="303"/>
      <c r="Y9" s="303"/>
      <c r="Z9" s="303"/>
      <c r="AA9" s="303"/>
      <c r="AB9" s="303"/>
      <c r="AC9" s="303"/>
      <c r="AD9" s="303"/>
      <c r="AE9" s="303"/>
      <c r="AF9" s="303"/>
      <c r="AG9" s="303"/>
      <c r="AH9" s="303"/>
      <c r="AI9" s="303"/>
      <c r="AJ9" s="303"/>
      <c r="AK9" s="1181" t="s">
        <v>504</v>
      </c>
      <c r="AM9" s="436"/>
      <c r="AN9" s="436" t="str">
        <f t="shared" si="0"/>
        <v>Добавить значение признака дифференциации</v>
      </c>
      <c r="AO9" s="436"/>
      <c r="AP9" s="436"/>
      <c r="AQ9" s="1078">
        <v>0</v>
      </c>
    </row>
    <row r="10" spans="1:43" ht="21" hidden="1" customHeight="1">
      <c r="A10" s="1286"/>
      <c r="B10" s="1286"/>
      <c r="C10" s="1286"/>
      <c r="D10" s="1286"/>
      <c r="E10" s="2507"/>
      <c r="F10" s="2507"/>
      <c r="G10" s="2507"/>
      <c r="H10" s="2507"/>
      <c r="I10" s="2504"/>
      <c r="J10" s="1286"/>
      <c r="K10" s="1286"/>
      <c r="L10" s="1287"/>
      <c r="P10" s="2505"/>
      <c r="Q10" s="1345"/>
      <c r="R10" s="292"/>
      <c r="S10" s="1201"/>
      <c r="T10" s="301" t="s">
        <v>431</v>
      </c>
      <c r="U10" s="303"/>
      <c r="V10" s="303"/>
      <c r="W10" s="303"/>
      <c r="X10" s="303"/>
      <c r="Y10" s="303"/>
      <c r="Z10" s="303"/>
      <c r="AA10" s="303"/>
      <c r="AB10" s="302"/>
      <c r="AC10" s="303"/>
      <c r="AD10" s="303"/>
      <c r="AE10" s="303"/>
      <c r="AF10" s="303"/>
      <c r="AG10" s="303"/>
      <c r="AH10" s="303"/>
      <c r="AI10" s="302"/>
      <c r="AJ10" s="303"/>
      <c r="AK10" s="1363"/>
      <c r="AM10" s="436"/>
      <c r="AN10" s="436" t="str">
        <f t="shared" si="0"/>
        <v>Добавить группу потребителей</v>
      </c>
      <c r="AO10" s="436"/>
      <c r="AP10" s="436"/>
      <c r="AQ10" s="1078">
        <v>0</v>
      </c>
    </row>
    <row r="11" spans="1:43" ht="14.25" hidden="1" customHeight="1">
      <c r="A11" s="1286"/>
      <c r="B11" s="1286"/>
      <c r="C11" s="1286"/>
      <c r="D11" s="1286"/>
      <c r="E11" s="2507"/>
      <c r="F11" s="2507"/>
      <c r="G11" s="2507"/>
      <c r="H11" s="2506"/>
      <c r="I11" s="1286"/>
      <c r="J11" s="1286"/>
      <c r="K11" s="1286"/>
      <c r="L11" s="1287"/>
      <c r="M11" s="1288"/>
      <c r="N11" s="1288"/>
      <c r="O11" s="473"/>
      <c r="P11" s="296"/>
      <c r="Q11" s="311"/>
      <c r="R11" s="291"/>
      <c r="S11" s="1201"/>
      <c r="T11" s="308" t="s">
        <v>505</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8">
        <v>0</v>
      </c>
    </row>
    <row r="12" spans="1:43" s="1565" customFormat="1" ht="14.25" hidden="1" customHeight="1">
      <c r="A12" s="1266"/>
      <c r="B12" s="1266"/>
      <c r="C12" s="1237"/>
      <c r="D12" s="1237"/>
      <c r="E12" s="2507"/>
      <c r="F12" s="2506"/>
      <c r="G12" s="1237"/>
      <c r="H12" s="1237"/>
      <c r="I12" s="1237"/>
      <c r="J12" s="1237"/>
      <c r="K12" s="1237"/>
      <c r="L12" s="1349"/>
      <c r="M12" s="1244"/>
      <c r="N12" s="1244"/>
      <c r="P12" s="1239"/>
      <c r="Q12" s="1240"/>
      <c r="R12" s="1239"/>
      <c r="S12" s="1245"/>
      <c r="T12" s="1248" t="s">
        <v>434</v>
      </c>
      <c r="U12" s="1247"/>
      <c r="V12" s="1247"/>
      <c r="W12" s="1247"/>
      <c r="X12" s="1247"/>
      <c r="Y12" s="1247"/>
      <c r="Z12" s="1247"/>
      <c r="AA12" s="1247"/>
      <c r="AB12" s="1247"/>
      <c r="AC12" s="1247"/>
      <c r="AD12" s="1247"/>
      <c r="AE12" s="1247"/>
      <c r="AF12" s="1247"/>
      <c r="AG12" s="1247"/>
      <c r="AH12" s="1247"/>
      <c r="AI12" s="1247"/>
      <c r="AJ12" s="1247"/>
      <c r="AK12" s="1247"/>
      <c r="AM12" s="718"/>
      <c r="AN12" s="718" t="str">
        <f t="shared" si="0"/>
        <v>Добавить централизованную систему для дифференциации</v>
      </c>
      <c r="AO12" s="718"/>
      <c r="AP12" s="718"/>
      <c r="AQ12" s="454">
        <v>0</v>
      </c>
    </row>
    <row r="13" spans="1:43" s="1565" customFormat="1" ht="14.25" hidden="1" customHeight="1">
      <c r="A13" s="1266"/>
      <c r="B13" s="1266"/>
      <c r="C13" s="1266"/>
      <c r="D13" s="1266"/>
      <c r="E13" s="2506"/>
      <c r="F13" s="1266"/>
      <c r="G13" s="1266"/>
      <c r="H13" s="1266"/>
      <c r="I13" s="1266"/>
      <c r="J13" s="1266"/>
      <c r="K13" s="1266"/>
      <c r="L13" s="1269"/>
      <c r="M13" s="1244"/>
      <c r="N13" s="1244"/>
      <c r="O13" s="454"/>
      <c r="P13" s="316"/>
      <c r="Q13" s="1267"/>
      <c r="R13" s="316"/>
      <c r="S13" s="1245"/>
      <c r="T13" s="1248" t="s">
        <v>435</v>
      </c>
      <c r="U13" s="1247"/>
      <c r="V13" s="1247"/>
      <c r="W13" s="1247"/>
      <c r="X13" s="1247"/>
      <c r="Y13" s="1247"/>
      <c r="Z13" s="1247"/>
      <c r="AA13" s="1247"/>
      <c r="AB13" s="1247"/>
      <c r="AC13" s="1247"/>
      <c r="AD13" s="1247"/>
      <c r="AE13" s="1247"/>
      <c r="AF13" s="1247"/>
      <c r="AG13" s="1247"/>
      <c r="AH13" s="1247"/>
      <c r="AI13" s="1247"/>
      <c r="AJ13" s="1247"/>
      <c r="AK13" s="1247"/>
      <c r="AM13" s="436"/>
      <c r="AN13" s="436" t="str">
        <f t="shared" si="0"/>
        <v>Добавить территорию для дифференциации</v>
      </c>
      <c r="AO13" s="436"/>
      <c r="AP13" s="436"/>
      <c r="AQ13" s="447">
        <v>0</v>
      </c>
    </row>
    <row r="14" spans="1:43" ht="14.25" hidden="1" customHeight="1">
      <c r="AB14" s="264"/>
      <c r="AI14" s="264"/>
      <c r="AQ14" s="1078">
        <v>0</v>
      </c>
    </row>
    <row r="15" spans="1:43" ht="14.25" hidden="1" customHeight="1">
      <c r="AC15" s="1283"/>
      <c r="AD15" s="1283"/>
      <c r="AE15" s="1284"/>
      <c r="AF15" s="2511"/>
      <c r="AG15" s="2512" t="s">
        <v>63</v>
      </c>
      <c r="AH15" s="2511"/>
      <c r="AI15" s="2512" t="s">
        <v>63</v>
      </c>
      <c r="AQ15" s="1078">
        <v>0</v>
      </c>
    </row>
    <row r="16" spans="1:43" ht="14.25" hidden="1" customHeight="1">
      <c r="AC16" s="1283"/>
      <c r="AD16" s="1283"/>
      <c r="AE16" s="265" t="str">
        <f>AF15&amp;"-"&amp;AH15</f>
        <v>-</v>
      </c>
      <c r="AF16" s="2512"/>
      <c r="AG16" s="2512"/>
      <c r="AH16" s="2512"/>
      <c r="AI16" s="2512"/>
      <c r="AQ16" s="1078">
        <v>0</v>
      </c>
    </row>
    <row r="17" spans="1:43" ht="14.25" hidden="1" customHeight="1">
      <c r="AI17" s="264"/>
      <c r="AQ17" s="1078">
        <v>0</v>
      </c>
    </row>
    <row r="18" spans="1:43" s="1289" customFormat="1" ht="22.5" hidden="1" customHeight="1">
      <c r="L18" s="1344"/>
      <c r="M18" s="1285"/>
      <c r="N18" s="1285"/>
      <c r="O18" s="1290" t="s">
        <v>436</v>
      </c>
      <c r="P18" s="1285"/>
      <c r="Q18" s="1294"/>
      <c r="R18" s="1294"/>
      <c r="S18" s="665"/>
      <c r="Y18" s="1290"/>
      <c r="AA18" s="1290"/>
      <c r="AF18" s="1290"/>
      <c r="AH18" s="1290"/>
      <c r="AL18" s="447"/>
      <c r="AM18" s="447"/>
      <c r="AN18" s="447"/>
      <c r="AO18" s="447"/>
      <c r="AP18" s="447"/>
      <c r="AQ18" s="1083">
        <v>0</v>
      </c>
    </row>
    <row r="19" spans="1:43" s="1289" customFormat="1" ht="14.25" hidden="1" customHeight="1">
      <c r="L19" s="1344"/>
      <c r="M19" s="1285"/>
      <c r="N19" s="1285"/>
      <c r="O19" s="1285"/>
      <c r="P19" s="1285"/>
      <c r="Q19" s="1294"/>
      <c r="R19" s="1294"/>
      <c r="S19" s="665"/>
      <c r="AL19" s="447"/>
      <c r="AM19" s="447"/>
      <c r="AN19" s="447"/>
      <c r="AO19" s="447"/>
      <c r="AP19" s="447"/>
      <c r="AQ19" s="1083">
        <v>0</v>
      </c>
    </row>
    <row r="20" spans="1:43" s="1289" customFormat="1" ht="12" hidden="1" customHeight="1">
      <c r="L20" s="1344"/>
      <c r="M20" s="1285"/>
      <c r="N20" s="1285"/>
      <c r="O20" s="1287" t="s">
        <v>437</v>
      </c>
      <c r="P20" s="1285"/>
      <c r="Q20" s="1365"/>
      <c r="R20" s="1365"/>
      <c r="S20" s="665"/>
      <c r="T20" s="1083" t="s">
        <v>438</v>
      </c>
      <c r="Z20" s="123" t="s">
        <v>439</v>
      </c>
      <c r="AB20" s="123" t="s">
        <v>440</v>
      </c>
      <c r="AC20" s="1083" t="s">
        <v>438</v>
      </c>
      <c r="AG20" s="123" t="s">
        <v>441</v>
      </c>
      <c r="AI20" s="123" t="s">
        <v>440</v>
      </c>
      <c r="AQ20" s="1083">
        <v>0</v>
      </c>
    </row>
    <row r="21" spans="1:43" ht="14.25" hidden="1" customHeight="1">
      <c r="O21" s="1287"/>
      <c r="AQ21" s="1078">
        <v>0</v>
      </c>
    </row>
    <row r="22" spans="1:43" ht="14.25" hidden="1" customHeight="1">
      <c r="O22" s="1287"/>
      <c r="AQ22" s="1078">
        <v>0</v>
      </c>
    </row>
    <row r="23" spans="1:43" ht="14.65" customHeight="1">
      <c r="Q23" s="312"/>
      <c r="R23" s="312"/>
      <c r="S23" s="1198"/>
      <c r="T23" s="299"/>
      <c r="U23" s="299"/>
      <c r="V23" s="445"/>
      <c r="W23" s="445"/>
      <c r="X23" s="445"/>
      <c r="Y23" s="445"/>
      <c r="Z23" s="445"/>
      <c r="AA23" s="445"/>
      <c r="AB23" s="445"/>
      <c r="AC23" s="445"/>
      <c r="AD23" s="445"/>
      <c r="AE23" s="445"/>
      <c r="AF23" s="445"/>
      <c r="AG23" s="445"/>
      <c r="AH23" s="445"/>
      <c r="AI23" s="445"/>
      <c r="AQ23" s="1078">
        <v>14</v>
      </c>
    </row>
    <row r="24" spans="1:43" ht="14.65" customHeight="1">
      <c r="Q24" s="312"/>
      <c r="R24" s="312"/>
      <c r="S24" s="249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90"/>
      <c r="U24" s="2490"/>
      <c r="V24" s="2490"/>
      <c r="W24" s="2490"/>
      <c r="X24" s="2490"/>
      <c r="Y24" s="2490"/>
      <c r="Z24" s="2490"/>
      <c r="AA24" s="2490"/>
      <c r="AB24" s="2490"/>
      <c r="AC24" s="2490"/>
      <c r="AD24" s="2490"/>
      <c r="AE24" s="2490"/>
      <c r="AF24" s="2490"/>
      <c r="AG24" s="2490"/>
      <c r="AH24" s="2490"/>
      <c r="AI24" s="1166"/>
      <c r="AQ24" s="1078">
        <v>14</v>
      </c>
    </row>
    <row r="25" spans="1:43" ht="14.65" customHeight="1">
      <c r="Q25" s="312"/>
      <c r="R25" s="312"/>
      <c r="S25" s="2436" t="str">
        <f>IF(org=0,"Не определено",org)</f>
        <v>ПАО "ТГК-2"</v>
      </c>
      <c r="T25" s="2436"/>
      <c r="U25" s="2436"/>
      <c r="V25" s="2436"/>
      <c r="W25" s="2436"/>
      <c r="X25" s="2436"/>
      <c r="Y25" s="2436"/>
      <c r="Z25" s="2436"/>
      <c r="AA25" s="2436"/>
      <c r="AB25" s="2436"/>
      <c r="AC25" s="2436"/>
      <c r="AD25" s="2436"/>
      <c r="AE25" s="2436"/>
      <c r="AF25" s="2436"/>
      <c r="AG25" s="2436"/>
      <c r="AH25" s="2436"/>
      <c r="AI25" s="1166"/>
      <c r="AQ25" s="1078">
        <v>14</v>
      </c>
    </row>
    <row r="26" spans="1:43" ht="14.25" hidden="1" customHeight="1">
      <c r="Q26" s="312"/>
      <c r="R26" s="312"/>
      <c r="S26" s="1198"/>
      <c r="T26" s="299"/>
      <c r="U26" s="299"/>
      <c r="V26" s="259"/>
      <c r="W26" s="259"/>
      <c r="X26" s="259"/>
      <c r="Y26" s="259"/>
      <c r="Z26" s="259"/>
      <c r="AA26" s="259"/>
      <c r="AB26" s="259"/>
      <c r="AC26" s="259"/>
      <c r="AD26" s="259"/>
      <c r="AE26" s="259"/>
      <c r="AF26" s="259"/>
      <c r="AG26" s="259"/>
      <c r="AH26" s="259"/>
      <c r="AI26" s="259"/>
      <c r="AJ26" s="445"/>
      <c r="AQ26" s="1078">
        <v>0</v>
      </c>
    </row>
    <row r="27" spans="1:43" s="1770" customFormat="1" ht="25.5" hidden="1" customHeight="1">
      <c r="A27" s="1291"/>
      <c r="B27" s="1291"/>
      <c r="C27" s="1291"/>
      <c r="D27" s="1291"/>
      <c r="E27" s="1291"/>
      <c r="F27" s="1291"/>
      <c r="G27" s="1291"/>
      <c r="H27" s="1291"/>
      <c r="I27" s="1291"/>
      <c r="J27" s="1291"/>
      <c r="K27" s="1291"/>
      <c r="L27" s="1292"/>
      <c r="M27" s="1291"/>
      <c r="N27" s="1291"/>
      <c r="O27" s="1291"/>
      <c r="S27" s="249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498"/>
      <c r="U27" s="1295"/>
      <c r="V27" s="2499" t="str">
        <f>IF(TITLE_NAME_OR_PR_CHANGE="",IF(TITLE_NAME_OR_PR="","",TITLE_NAME_OR_PR),TITLE_NAME_OR_PR_CHANGE)</f>
        <v/>
      </c>
      <c r="W27" s="2499"/>
      <c r="X27" s="2499"/>
      <c r="Y27" s="2499"/>
      <c r="Z27" s="2499"/>
      <c r="AA27" s="2499"/>
      <c r="AB27" s="263"/>
      <c r="AC27" s="2499" t="str">
        <f>IF(TITLE_NAME_OR_PR_CHANGE="",IF(TITLE_NAME_OR_PR="","",TITLE_NAME_OR_PR),TITLE_NAME_OR_PR_CHANGE)</f>
        <v/>
      </c>
      <c r="AD27" s="2499"/>
      <c r="AE27" s="2499"/>
      <c r="AF27" s="2499"/>
      <c r="AG27" s="2499"/>
      <c r="AH27" s="2499"/>
      <c r="AI27" s="263"/>
      <c r="AJ27" s="263"/>
      <c r="AK27" s="217"/>
      <c r="AL27" s="304"/>
      <c r="AM27" s="304"/>
      <c r="AN27" s="304"/>
      <c r="AO27" s="304"/>
      <c r="AP27" s="304"/>
      <c r="AQ27" s="354">
        <v>0</v>
      </c>
    </row>
    <row r="28" spans="1:43" s="1770" customFormat="1" ht="18.75" hidden="1" customHeight="1">
      <c r="A28" s="1291"/>
      <c r="B28" s="1291"/>
      <c r="C28" s="1291"/>
      <c r="D28" s="1291"/>
      <c r="E28" s="1291"/>
      <c r="F28" s="1291"/>
      <c r="G28" s="1291"/>
      <c r="H28" s="1291"/>
      <c r="I28" s="1291"/>
      <c r="J28" s="1291"/>
      <c r="K28" s="1291"/>
      <c r="L28" s="1292"/>
      <c r="M28" s="1291"/>
      <c r="N28" s="1291"/>
      <c r="O28" s="1291"/>
      <c r="S28" s="2498" t="str">
        <f>"Дата документа об "&amp;IF(TITLE_DATE_PR_CHANGE="","утверждении","изменении")&amp;" тарифов"</f>
        <v>Дата документа об утверждении тарифов</v>
      </c>
      <c r="T28" s="2498"/>
      <c r="U28" s="1295"/>
      <c r="V28" s="2508" t="str">
        <f>IF(TITLE_DATE_PR_CHANGE="",IF(TITLE_DATE_PR="","",TITLE_DATE_PR),TITLE_DATE_PR_CHANGE)</f>
        <v/>
      </c>
      <c r="W28" s="2508"/>
      <c r="X28" s="2508"/>
      <c r="Y28" s="2508"/>
      <c r="Z28" s="2508"/>
      <c r="AA28" s="2508"/>
      <c r="AB28" s="263"/>
      <c r="AC28" s="2508" t="str">
        <f>IF(TITLE_DATE_PR_CHANGE="",IF(TITLE_DATE_PR="","",TITLE_DATE_PR),TITLE_DATE_PR_CHANGE)</f>
        <v/>
      </c>
      <c r="AD28" s="2508"/>
      <c r="AE28" s="2508"/>
      <c r="AF28" s="2508"/>
      <c r="AG28" s="2508"/>
      <c r="AH28" s="2508"/>
      <c r="AI28" s="263"/>
      <c r="AJ28" s="263"/>
      <c r="AK28" s="217"/>
      <c r="AL28" s="304"/>
      <c r="AM28" s="304"/>
      <c r="AN28" s="304"/>
      <c r="AO28" s="304"/>
      <c r="AP28" s="304"/>
      <c r="AQ28" s="354">
        <v>0</v>
      </c>
    </row>
    <row r="29" spans="1:43" s="1770" customFormat="1" ht="18.75" hidden="1" customHeight="1">
      <c r="A29" s="1291"/>
      <c r="B29" s="1291"/>
      <c r="C29" s="1291"/>
      <c r="D29" s="1291"/>
      <c r="E29" s="1291"/>
      <c r="F29" s="1291"/>
      <c r="G29" s="1291"/>
      <c r="H29" s="1291"/>
      <c r="I29" s="1291"/>
      <c r="J29" s="1291"/>
      <c r="K29" s="1291"/>
      <c r="L29" s="1292"/>
      <c r="M29" s="1291"/>
      <c r="N29" s="1291"/>
      <c r="O29" s="1291"/>
      <c r="S29" s="2498" t="str">
        <f>"Номер документа об "&amp;IF(TITLE_DATE_PR_CHANGE="","утверждении","изменении")&amp;" тарифов"</f>
        <v>Номер документа об утверждении тарифов</v>
      </c>
      <c r="T29" s="2498"/>
      <c r="U29" s="1295"/>
      <c r="V29" s="2499" t="str">
        <f>IF(TITLE_NUMBER_PR_CHANGE="",IF(TITLE_NUMBER_PR="","",TITLE_NUMBER_PR),TITLE_NUMBER_PR_CHANGE)</f>
        <v/>
      </c>
      <c r="W29" s="2499"/>
      <c r="X29" s="2499"/>
      <c r="Y29" s="2499"/>
      <c r="Z29" s="2499"/>
      <c r="AA29" s="2499"/>
      <c r="AB29" s="263"/>
      <c r="AC29" s="2499" t="str">
        <f>IF(TITLE_NUMBER_PR_CHANGE="",IF(TITLE_NUMBER_PR="","",TITLE_NUMBER_PR),TITLE_NUMBER_PR_CHANGE)</f>
        <v/>
      </c>
      <c r="AD29" s="2499"/>
      <c r="AE29" s="2499"/>
      <c r="AF29" s="2499"/>
      <c r="AG29" s="2499"/>
      <c r="AH29" s="2499"/>
      <c r="AI29" s="263"/>
      <c r="AJ29" s="263"/>
      <c r="AK29" s="217"/>
      <c r="AL29" s="304"/>
      <c r="AM29" s="304"/>
      <c r="AN29" s="304"/>
      <c r="AO29" s="304"/>
      <c r="AP29" s="304"/>
      <c r="AQ29" s="354">
        <v>0</v>
      </c>
    </row>
    <row r="30" spans="1:43" s="1770" customFormat="1" ht="18.75" hidden="1" customHeight="1">
      <c r="A30" s="1291"/>
      <c r="B30" s="1291"/>
      <c r="C30" s="1291"/>
      <c r="D30" s="1291"/>
      <c r="E30" s="1291"/>
      <c r="F30" s="1291"/>
      <c r="G30" s="1291"/>
      <c r="H30" s="1291"/>
      <c r="I30" s="1291"/>
      <c r="J30" s="1291"/>
      <c r="K30" s="1291"/>
      <c r="L30" s="1292"/>
      <c r="M30" s="1291"/>
      <c r="N30" s="1291"/>
      <c r="O30" s="1291"/>
      <c r="S30" s="2498" t="s">
        <v>43</v>
      </c>
      <c r="T30" s="2498"/>
      <c r="U30" s="1295"/>
      <c r="V30" s="2499" t="str">
        <f>IF(TITLE_IST_PUB_CHANGE="",IF(TITLE_IST_PUB="","",TITLE_IST_PUB),TITLE_IST_PUB_CHANGE)</f>
        <v/>
      </c>
      <c r="W30" s="2499"/>
      <c r="X30" s="2499"/>
      <c r="Y30" s="2499"/>
      <c r="Z30" s="2499"/>
      <c r="AA30" s="2499"/>
      <c r="AB30" s="263"/>
      <c r="AC30" s="2499" t="str">
        <f>IF(TITLE_IST_PUB_CHANGE="",IF(TITLE_IST_PUB="","",TITLE_IST_PUB),TITLE_IST_PUB_CHANGE)</f>
        <v/>
      </c>
      <c r="AD30" s="2499"/>
      <c r="AE30" s="2499"/>
      <c r="AF30" s="2499"/>
      <c r="AG30" s="2499"/>
      <c r="AH30" s="2499"/>
      <c r="AI30" s="263"/>
      <c r="AJ30" s="263"/>
      <c r="AK30" s="217"/>
      <c r="AL30" s="304"/>
      <c r="AM30" s="304"/>
      <c r="AN30" s="304"/>
      <c r="AO30" s="304"/>
      <c r="AP30" s="304"/>
      <c r="AQ30" s="354">
        <v>0</v>
      </c>
    </row>
    <row r="31" spans="1:43" ht="14.25" hidden="1" customHeight="1">
      <c r="Q31" s="312"/>
      <c r="R31" s="312"/>
      <c r="S31" s="1198"/>
      <c r="T31" s="299"/>
      <c r="U31" s="299"/>
      <c r="V31" s="259"/>
      <c r="W31" s="259"/>
      <c r="X31" s="259"/>
      <c r="Y31" s="259"/>
      <c r="Z31" s="259"/>
      <c r="AA31" s="259"/>
      <c r="AB31" s="259"/>
      <c r="AC31" s="259"/>
      <c r="AD31" s="259"/>
      <c r="AE31" s="259"/>
      <c r="AF31" s="259"/>
      <c r="AG31" s="259"/>
      <c r="AH31" s="259"/>
      <c r="AI31" s="259"/>
      <c r="AJ31" s="445"/>
      <c r="AQ31" s="1078">
        <v>0</v>
      </c>
    </row>
    <row r="32" spans="1:43" s="1770" customFormat="1" ht="18.75" hidden="1" customHeight="1">
      <c r="A32" s="1291"/>
      <c r="B32" s="1291"/>
      <c r="C32" s="1291"/>
      <c r="D32" s="1291"/>
      <c r="E32" s="1291"/>
      <c r="F32" s="1291"/>
      <c r="G32" s="1291"/>
      <c r="H32" s="1291"/>
      <c r="I32" s="1291"/>
      <c r="J32" s="1291"/>
      <c r="K32" s="1291"/>
      <c r="L32" s="1292"/>
      <c r="M32" s="1291"/>
      <c r="N32" s="1291"/>
      <c r="O32" s="1291"/>
      <c r="S32" s="2498" t="str">
        <f>"Дата подачи заявления об "&amp;IF(TITLE_DATE_PR_CHANGE="","утверждении","изменении")&amp;" тарифов"</f>
        <v>Дата подачи заявления об утверждении тарифов</v>
      </c>
      <c r="T32" s="2498"/>
      <c r="U32" s="1295"/>
      <c r="V32" s="2508" t="str">
        <f>IF(TITLE_DATE_PR_CHANGE="",IF(TITLE_DATE_PR="","",TITLE_DATE_PR),TITLE_DATE_PR_CHANGE)</f>
        <v/>
      </c>
      <c r="W32" s="2508"/>
      <c r="X32" s="2508"/>
      <c r="Y32" s="2508"/>
      <c r="Z32" s="2508"/>
      <c r="AA32" s="2508"/>
      <c r="AB32" s="263"/>
      <c r="AC32" s="2508" t="str">
        <f>IF(TITLE_DATE_PR_CHANGE="",IF(TITLE_DATE_PR="","",TITLE_DATE_PR),TITLE_DATE_PR_CHANGE)</f>
        <v/>
      </c>
      <c r="AD32" s="2508"/>
      <c r="AE32" s="2508"/>
      <c r="AF32" s="2508"/>
      <c r="AG32" s="2508"/>
      <c r="AH32" s="2508"/>
      <c r="AI32" s="263"/>
      <c r="AJ32" s="263"/>
      <c r="AK32" s="217"/>
      <c r="AL32" s="304"/>
      <c r="AM32" s="304"/>
      <c r="AN32" s="304"/>
      <c r="AO32" s="304"/>
      <c r="AP32" s="304"/>
      <c r="AQ32" s="354">
        <v>0</v>
      </c>
    </row>
    <row r="33" spans="1:43" s="1770" customFormat="1" ht="18.75" hidden="1" customHeight="1">
      <c r="A33" s="1291"/>
      <c r="B33" s="1291"/>
      <c r="C33" s="1291"/>
      <c r="D33" s="1291"/>
      <c r="E33" s="1291"/>
      <c r="F33" s="1291"/>
      <c r="G33" s="1291"/>
      <c r="H33" s="1291"/>
      <c r="I33" s="1291"/>
      <c r="J33" s="1291"/>
      <c r="K33" s="1291"/>
      <c r="L33" s="1292"/>
      <c r="M33" s="1291"/>
      <c r="N33" s="1291"/>
      <c r="O33" s="1291"/>
      <c r="S33" s="2498" t="str">
        <f>"Номер подачи заявления об "&amp;IF(TITLE_DATE_PR_CHANGE="","утверждении","изменении")&amp;" тарифов"</f>
        <v>Номер подачи заявления об утверждении тарифов</v>
      </c>
      <c r="T33" s="2498"/>
      <c r="U33" s="1295"/>
      <c r="V33" s="2499" t="str">
        <f>IF(TITLE_NUMBER_PR_CHANGE="",IF(TITLE_NUMBER_PR="","",TITLE_NUMBER_PR),TITLE_NUMBER_PR_CHANGE)</f>
        <v/>
      </c>
      <c r="W33" s="2499"/>
      <c r="X33" s="2499"/>
      <c r="Y33" s="2499"/>
      <c r="Z33" s="2499"/>
      <c r="AA33" s="2499"/>
      <c r="AB33" s="263"/>
      <c r="AC33" s="2499" t="str">
        <f>IF(TITLE_NUMBER_PR_CHANGE="",IF(TITLE_NUMBER_PR="","",TITLE_NUMBER_PR),TITLE_NUMBER_PR_CHANGE)</f>
        <v/>
      </c>
      <c r="AD33" s="2499"/>
      <c r="AE33" s="2499"/>
      <c r="AF33" s="2499"/>
      <c r="AG33" s="2499"/>
      <c r="AH33" s="2499"/>
      <c r="AI33" s="263"/>
      <c r="AJ33" s="263"/>
      <c r="AK33" s="217"/>
      <c r="AL33" s="304"/>
      <c r="AM33" s="304"/>
      <c r="AN33" s="304"/>
      <c r="AO33" s="304"/>
      <c r="AP33" s="304"/>
      <c r="AQ33" s="354">
        <v>0</v>
      </c>
    </row>
    <row r="34" spans="1:43" s="1770" customFormat="1" ht="1.1499999999999999" customHeight="1">
      <c r="A34" s="1291"/>
      <c r="B34" s="1291"/>
      <c r="C34" s="1291"/>
      <c r="D34" s="1291"/>
      <c r="E34" s="1291"/>
      <c r="F34" s="1291"/>
      <c r="G34" s="1291"/>
      <c r="H34" s="1291"/>
      <c r="I34" s="1291"/>
      <c r="J34" s="1291"/>
      <c r="K34" s="1291"/>
      <c r="L34" s="1292"/>
      <c r="M34" s="1291"/>
      <c r="N34" s="1291"/>
      <c r="O34" s="1291"/>
      <c r="S34" s="260"/>
      <c r="T34" s="260"/>
      <c r="U34" s="1278"/>
      <c r="V34" s="263"/>
      <c r="W34" s="263"/>
      <c r="X34" s="263"/>
      <c r="Y34" s="263"/>
      <c r="Z34" s="263"/>
      <c r="AA34" s="263"/>
      <c r="AB34" s="215" t="s">
        <v>442</v>
      </c>
      <c r="AC34" s="263"/>
      <c r="AD34" s="263"/>
      <c r="AE34" s="263"/>
      <c r="AF34" s="263"/>
      <c r="AG34" s="263"/>
      <c r="AH34" s="263"/>
      <c r="AI34" s="215" t="s">
        <v>442</v>
      </c>
      <c r="AL34" s="304"/>
      <c r="AM34" s="304"/>
      <c r="AN34" s="304"/>
      <c r="AO34" s="304"/>
      <c r="AP34" s="304"/>
      <c r="AQ34" s="354">
        <v>1</v>
      </c>
    </row>
    <row r="35" spans="1:43" ht="14.65" customHeight="1">
      <c r="Q35" s="312"/>
      <c r="R35" s="312"/>
      <c r="S35" s="1198"/>
      <c r="T35" s="299"/>
      <c r="U35" s="1167"/>
      <c r="V35" s="2500"/>
      <c r="W35" s="2500"/>
      <c r="X35" s="2500"/>
      <c r="Y35" s="2500"/>
      <c r="Z35" s="2500"/>
      <c r="AA35" s="2500"/>
      <c r="AB35" s="2500"/>
      <c r="AC35" s="2500"/>
      <c r="AD35" s="2500"/>
      <c r="AE35" s="2500"/>
      <c r="AF35" s="2500"/>
      <c r="AG35" s="2500"/>
      <c r="AH35" s="2500"/>
      <c r="AI35" s="2500"/>
      <c r="AQ35" s="1078">
        <v>14</v>
      </c>
    </row>
    <row r="36" spans="1:43" ht="14.65" customHeight="1">
      <c r="Q36" s="312"/>
      <c r="R36" s="312"/>
      <c r="S36" s="2371" t="s">
        <v>319</v>
      </c>
      <c r="T36" s="2371"/>
      <c r="U36" s="2371"/>
      <c r="V36" s="2371"/>
      <c r="W36" s="2371"/>
      <c r="X36" s="2371"/>
      <c r="Y36" s="2371"/>
      <c r="Z36" s="2371"/>
      <c r="AA36" s="2371"/>
      <c r="AB36" s="2371"/>
      <c r="AC36" s="2371"/>
      <c r="AD36" s="2371"/>
      <c r="AE36" s="2371"/>
      <c r="AF36" s="2371"/>
      <c r="AG36" s="2371"/>
      <c r="AH36" s="2371"/>
      <c r="AI36" s="2371"/>
      <c r="AJ36" s="2371"/>
      <c r="AK36" s="2371" t="s">
        <v>320</v>
      </c>
      <c r="AQ36" s="1078">
        <v>14</v>
      </c>
    </row>
    <row r="37" spans="1:43" ht="14.65" customHeight="1">
      <c r="Q37" s="312"/>
      <c r="R37" s="312"/>
      <c r="S37" s="2514" t="s">
        <v>89</v>
      </c>
      <c r="T37" s="2466" t="s">
        <v>443</v>
      </c>
      <c r="U37" s="238"/>
      <c r="V37" s="2515" t="s">
        <v>444</v>
      </c>
      <c r="W37" s="2516"/>
      <c r="X37" s="2516"/>
      <c r="Y37" s="2516"/>
      <c r="Z37" s="2516"/>
      <c r="AA37" s="2517"/>
      <c r="AB37" s="2518" t="s">
        <v>445</v>
      </c>
      <c r="AC37" s="2515" t="s">
        <v>444</v>
      </c>
      <c r="AD37" s="2516"/>
      <c r="AE37" s="2516"/>
      <c r="AF37" s="2516"/>
      <c r="AG37" s="2516"/>
      <c r="AH37" s="2517"/>
      <c r="AI37" s="2518" t="s">
        <v>446</v>
      </c>
      <c r="AJ37" s="2521" t="s">
        <v>447</v>
      </c>
      <c r="AK37" s="2371"/>
      <c r="AQ37" s="1078">
        <v>14</v>
      </c>
    </row>
    <row r="38" spans="1:43" ht="35.65" customHeight="1">
      <c r="Q38" s="312"/>
      <c r="R38" s="312"/>
      <c r="S38" s="2514"/>
      <c r="T38" s="2466"/>
      <c r="U38" s="958"/>
      <c r="V38" s="1275" t="s">
        <v>506</v>
      </c>
      <c r="W38" s="2350" t="s">
        <v>450</v>
      </c>
      <c r="X38" s="2349"/>
      <c r="Y38" s="2350" t="s">
        <v>451</v>
      </c>
      <c r="Z38" s="2356"/>
      <c r="AA38" s="2349"/>
      <c r="AB38" s="2519"/>
      <c r="AC38" s="1275" t="s">
        <v>506</v>
      </c>
      <c r="AD38" s="2350" t="s">
        <v>450</v>
      </c>
      <c r="AE38" s="2349"/>
      <c r="AF38" s="2350" t="s">
        <v>451</v>
      </c>
      <c r="AG38" s="2356"/>
      <c r="AH38" s="2349"/>
      <c r="AI38" s="2519"/>
      <c r="AJ38" s="2522"/>
      <c r="AK38" s="2371"/>
      <c r="AQ38" s="1078">
        <v>34</v>
      </c>
    </row>
    <row r="39" spans="1:43" ht="35.65" customHeight="1">
      <c r="A39" s="1293"/>
      <c r="B39" s="1293" t="s">
        <v>156</v>
      </c>
      <c r="C39" s="1293" t="s">
        <v>157</v>
      </c>
      <c r="D39" s="1293" t="s">
        <v>158</v>
      </c>
      <c r="E39" s="1287" t="s">
        <v>452</v>
      </c>
      <c r="F39" s="1287" t="s">
        <v>453</v>
      </c>
      <c r="G39" s="1287" t="s">
        <v>454</v>
      </c>
      <c r="H39" s="1287"/>
      <c r="I39" s="1287" t="s">
        <v>507</v>
      </c>
      <c r="J39" s="1287" t="s">
        <v>457</v>
      </c>
      <c r="K39" s="1287" t="s">
        <v>508</v>
      </c>
      <c r="L39" s="1287" t="s">
        <v>437</v>
      </c>
      <c r="Q39" s="312"/>
      <c r="R39" s="312"/>
      <c r="S39" s="2514"/>
      <c r="T39" s="2466"/>
      <c r="U39" s="239"/>
      <c r="V39" s="1275" t="s">
        <v>509</v>
      </c>
      <c r="W39" s="1145" t="s">
        <v>510</v>
      </c>
      <c r="X39" s="1145" t="s">
        <v>511</v>
      </c>
      <c r="Y39" s="1280" t="s">
        <v>461</v>
      </c>
      <c r="Z39" s="2474" t="s">
        <v>462</v>
      </c>
      <c r="AA39" s="2476"/>
      <c r="AB39" s="2520"/>
      <c r="AC39" s="1275" t="s">
        <v>509</v>
      </c>
      <c r="AD39" s="1145" t="s">
        <v>510</v>
      </c>
      <c r="AE39" s="1145" t="s">
        <v>511</v>
      </c>
      <c r="AF39" s="1280" t="s">
        <v>461</v>
      </c>
      <c r="AG39" s="2474" t="s">
        <v>462</v>
      </c>
      <c r="AH39" s="2476"/>
      <c r="AI39" s="2520"/>
      <c r="AJ39" s="2523"/>
      <c r="AK39" s="2371"/>
      <c r="AQ39" s="1078">
        <v>34</v>
      </c>
    </row>
    <row r="40" spans="1:43" s="1564" customFormat="1" ht="11.25" hidden="1" customHeight="1">
      <c r="A40" s="1293"/>
      <c r="B40" s="1293"/>
      <c r="C40" s="1293"/>
      <c r="D40" s="1293"/>
      <c r="E40" s="1293"/>
      <c r="F40" s="1293"/>
      <c r="G40" s="1293"/>
      <c r="H40" s="1293"/>
      <c r="I40" s="1293"/>
      <c r="J40" s="1293"/>
      <c r="K40" s="1293"/>
      <c r="L40" s="1287"/>
      <c r="M40" s="1285"/>
      <c r="N40" s="1285"/>
      <c r="O40" s="1285"/>
      <c r="P40" s="1169"/>
      <c r="Q40" s="1170"/>
      <c r="R40" s="1177">
        <v>1</v>
      </c>
      <c r="S40" s="1200" t="s">
        <v>100</v>
      </c>
      <c r="T40" s="1178" t="s">
        <v>103</v>
      </c>
      <c r="U40" s="1168" t="str">
        <f ca="1">OFFSET(U40,0,-1)</f>
        <v>2</v>
      </c>
      <c r="V40" s="1276">
        <f ca="1">OFFSET(V40,0,-1)+1</f>
        <v>3</v>
      </c>
      <c r="W40" s="1276">
        <f ca="1">OFFSET(W40,0,-1)+1</f>
        <v>4</v>
      </c>
      <c r="X40" s="1276">
        <f ca="1">OFFSET(X40,0,-1)+1</f>
        <v>5</v>
      </c>
      <c r="Y40" s="1276">
        <f ca="1">OFFSET(Y40,0,-1)+1</f>
        <v>6</v>
      </c>
      <c r="Z40" s="2513">
        <f ca="1">OFFSET(Z40,0,-1)+1</f>
        <v>7</v>
      </c>
      <c r="AA40" s="2513"/>
      <c r="AB40" s="1276">
        <f ca="1">OFFSET(AB40,0,-2)+1</f>
        <v>8</v>
      </c>
      <c r="AC40" s="1276">
        <f ca="1">OFFSET(AC40,0,-1)+1</f>
        <v>9</v>
      </c>
      <c r="AD40" s="1276">
        <f ca="1">OFFSET(AD40,0,-1)+1</f>
        <v>10</v>
      </c>
      <c r="AE40" s="1276">
        <f ca="1">OFFSET(AE40,0,-1)+1</f>
        <v>11</v>
      </c>
      <c r="AF40" s="1276">
        <f ca="1">OFFSET(AF40,0,-1)+1</f>
        <v>12</v>
      </c>
      <c r="AG40" s="2513">
        <f ca="1">OFFSET(AG40,0,-1)+1</f>
        <v>13</v>
      </c>
      <c r="AH40" s="2513"/>
      <c r="AI40" s="1276">
        <f ca="1">OFFSET(AI40,0,-2)+1</f>
        <v>14</v>
      </c>
      <c r="AJ40" s="1168">
        <f ca="1">OFFSET(AJ40,0,-1)</f>
        <v>14</v>
      </c>
      <c r="AK40" s="1276">
        <f ca="1">OFFSET(AK40,0,-1)+1</f>
        <v>15</v>
      </c>
      <c r="AL40" s="447"/>
      <c r="AM40" s="447"/>
      <c r="AN40" s="447"/>
      <c r="AO40" s="447"/>
      <c r="AP40" s="447"/>
      <c r="AQ40" s="432">
        <v>0</v>
      </c>
    </row>
    <row r="41" spans="1:43" ht="24" customHeight="1">
      <c r="A41" s="1286" t="s">
        <v>245</v>
      </c>
      <c r="B41" s="1286"/>
      <c r="C41" s="1286"/>
      <c r="D41" s="1286"/>
      <c r="E41" s="2506">
        <v>1</v>
      </c>
      <c r="F41" s="1286"/>
      <c r="G41" s="1286"/>
      <c r="H41" s="1286"/>
      <c r="I41" s="1286"/>
      <c r="J41" s="1286"/>
      <c r="K41" s="1286"/>
      <c r="L41" s="1287"/>
      <c r="M41" s="1288"/>
      <c r="N41" s="1288"/>
      <c r="O41" s="1288"/>
      <c r="P41" s="297"/>
      <c r="Q41" s="296"/>
      <c r="R41" s="291"/>
      <c r="S41" s="1281">
        <f>INDEX(PT_DIFFERENTIATION_NUM_NTAR,MATCH(A41,PT_DIFFERENTIATION_NTAR_ID,0))</f>
        <v>0</v>
      </c>
      <c r="T41" s="235" t="s">
        <v>144</v>
      </c>
      <c r="U41" s="237"/>
      <c r="V41" s="2492"/>
      <c r="W41" s="2493"/>
      <c r="X41" s="2493"/>
      <c r="Y41" s="2493"/>
      <c r="Z41" s="2493"/>
      <c r="AA41" s="2493"/>
      <c r="AB41" s="2494"/>
      <c r="AC41" s="2492" t="str">
        <f>INDEX(PT_DIFFERENTIATION_NTAR,MATCH(A41,PT_DIFFERENTIATION_NTAR_ID,0))</f>
        <v/>
      </c>
      <c r="AD41" s="2493"/>
      <c r="AE41" s="2493"/>
      <c r="AF41" s="2493"/>
      <c r="AG41" s="2493"/>
      <c r="AH41" s="2493"/>
      <c r="AI41" s="2493"/>
      <c r="AJ41" s="2494"/>
      <c r="AK41"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8">
        <v>23</v>
      </c>
    </row>
    <row r="42" spans="1:43" ht="24" customHeight="1">
      <c r="A42" s="1286" t="s">
        <v>245</v>
      </c>
      <c r="B42" s="1286" t="s">
        <v>246</v>
      </c>
      <c r="C42" s="1286"/>
      <c r="D42" s="1286"/>
      <c r="E42" s="2507"/>
      <c r="F42" s="2506">
        <v>1</v>
      </c>
      <c r="G42" s="1286"/>
      <c r="H42" s="1286"/>
      <c r="I42" s="1286"/>
      <c r="J42" s="1286"/>
      <c r="K42" s="1286"/>
      <c r="L42" s="1287"/>
      <c r="M42" s="1288"/>
      <c r="N42" s="1288"/>
      <c r="O42" s="1288"/>
      <c r="P42" s="1279"/>
      <c r="Q42" s="288"/>
      <c r="R42" s="289"/>
      <c r="S42" s="1281" t="str">
        <f>INDEX(PT_DIFFERENTIATION_NUM_TER,MATCH(B42,PT_DIFFERENTIATION_TER_ID,0))</f>
        <v>.</v>
      </c>
      <c r="T42" s="245" t="s">
        <v>416</v>
      </c>
      <c r="U42" s="237"/>
      <c r="V42" s="2492"/>
      <c r="W42" s="2493"/>
      <c r="X42" s="2493"/>
      <c r="Y42" s="2493"/>
      <c r="Z42" s="2493"/>
      <c r="AA42" s="2493"/>
      <c r="AB42" s="2494"/>
      <c r="AC42" s="2492" t="str">
        <f>INDEX(PT_DIFFERENTIATION_TER,MATCH(B42,PT_DIFFERENTIATION_TER_ID,0))</f>
        <v/>
      </c>
      <c r="AD42" s="2493"/>
      <c r="AE42" s="2493"/>
      <c r="AF42" s="2493"/>
      <c r="AG42" s="2493"/>
      <c r="AH42" s="2493"/>
      <c r="AI42" s="2493"/>
      <c r="AJ42" s="2494"/>
      <c r="AK42" s="1181" t="s">
        <v>417</v>
      </c>
      <c r="AM42" s="436"/>
      <c r="AN42" s="436" t="str">
        <f t="shared" si="1"/>
        <v>Территория действия тарифа</v>
      </c>
      <c r="AO42" s="436"/>
      <c r="AP42" s="436"/>
      <c r="AQ42" s="1078">
        <v>23</v>
      </c>
    </row>
    <row r="43" spans="1:43" ht="24" customHeight="1">
      <c r="A43" s="1286" t="s">
        <v>245</v>
      </c>
      <c r="B43" s="1286" t="s">
        <v>246</v>
      </c>
      <c r="C43" s="1286" t="s">
        <v>247</v>
      </c>
      <c r="D43" s="1286"/>
      <c r="E43" s="2507"/>
      <c r="F43" s="2507"/>
      <c r="G43" s="2506">
        <v>1</v>
      </c>
      <c r="H43" s="1286"/>
      <c r="I43" s="1286"/>
      <c r="J43" s="1286"/>
      <c r="K43" s="1286"/>
      <c r="L43" s="1287"/>
      <c r="M43" s="1288"/>
      <c r="N43" s="1288"/>
      <c r="O43" s="1288"/>
      <c r="P43" s="290"/>
      <c r="Q43" s="288"/>
      <c r="R43" s="289"/>
      <c r="S43" s="1281" t="str">
        <f>INDEX(PT_DIFFERENTIATION_NUM_CS,MATCH(C43,PT_DIFFERENTIATION_CS_ID,0))</f>
        <v>..</v>
      </c>
      <c r="T43" s="246" t="s">
        <v>498</v>
      </c>
      <c r="U43" s="237"/>
      <c r="V43" s="2492"/>
      <c r="W43" s="2493"/>
      <c r="X43" s="2493"/>
      <c r="Y43" s="2493"/>
      <c r="Z43" s="2493"/>
      <c r="AA43" s="2493"/>
      <c r="AB43" s="2494"/>
      <c r="AC43" s="2492" t="str">
        <f>INDEX(PT_DIFFERENTIATION_CS,MATCH(C43,PT_DIFFERENTIATION_CS_ID,0))</f>
        <v/>
      </c>
      <c r="AD43" s="2493"/>
      <c r="AE43" s="2493"/>
      <c r="AF43" s="2493"/>
      <c r="AG43" s="2493"/>
      <c r="AH43" s="2493"/>
      <c r="AI43" s="2493"/>
      <c r="AJ43" s="2494"/>
      <c r="AK43" s="1181" t="s">
        <v>499</v>
      </c>
      <c r="AM43" s="436"/>
      <c r="AN43" s="436" t="str">
        <f t="shared" si="1"/>
        <v>Наименование централизованной системы холодного водоснабжения</v>
      </c>
      <c r="AO43" s="436"/>
      <c r="AP43" s="436"/>
      <c r="AQ43" s="1078">
        <v>23</v>
      </c>
    </row>
    <row r="44" spans="1:43" ht="24" customHeight="1">
      <c r="A44" s="1286" t="s">
        <v>245</v>
      </c>
      <c r="B44" s="1286" t="s">
        <v>246</v>
      </c>
      <c r="C44" s="1286" t="s">
        <v>247</v>
      </c>
      <c r="D44" s="1286" t="s">
        <v>512</v>
      </c>
      <c r="E44" s="2507"/>
      <c r="F44" s="2507"/>
      <c r="G44" s="2507"/>
      <c r="H44" s="2507"/>
      <c r="I44" s="2504" t="str">
        <f>S43&amp;".1"</f>
        <v>...1</v>
      </c>
      <c r="J44" s="1286"/>
      <c r="K44" s="1286"/>
      <c r="L44" s="1287"/>
      <c r="P44" s="2505">
        <v>1</v>
      </c>
      <c r="Q44" s="1277"/>
      <c r="R44" s="292"/>
      <c r="S44" s="1281" t="str">
        <f>$I44</f>
        <v>...1</v>
      </c>
      <c r="T44" s="222" t="s">
        <v>500</v>
      </c>
      <c r="U44" s="237"/>
      <c r="V44" s="2576"/>
      <c r="W44" s="2577"/>
      <c r="X44" s="2577"/>
      <c r="Y44" s="2577"/>
      <c r="Z44" s="2577"/>
      <c r="AA44" s="2577"/>
      <c r="AB44" s="2578"/>
      <c r="AC44" s="2579"/>
      <c r="AD44" s="2580"/>
      <c r="AE44" s="2580"/>
      <c r="AF44" s="2580"/>
      <c r="AG44" s="2580"/>
      <c r="AH44" s="2580"/>
      <c r="AI44" s="2580"/>
      <c r="AJ44" s="2581"/>
      <c r="AK44" s="1181" t="s">
        <v>501</v>
      </c>
      <c r="AM44" s="436"/>
      <c r="AN44" s="436" t="str">
        <f t="shared" si="1"/>
        <v>Наименование признака дифференциации</v>
      </c>
      <c r="AO44" s="436"/>
      <c r="AP44" s="436"/>
      <c r="AQ44" s="1078">
        <v>23</v>
      </c>
    </row>
    <row r="45" spans="1:43" ht="24" customHeight="1">
      <c r="A45" s="1286" t="s">
        <v>245</v>
      </c>
      <c r="B45" s="1286" t="s">
        <v>246</v>
      </c>
      <c r="C45" s="1286" t="s">
        <v>247</v>
      </c>
      <c r="D45" s="1286" t="s">
        <v>512</v>
      </c>
      <c r="E45" s="2507"/>
      <c r="F45" s="2507"/>
      <c r="G45" s="2507"/>
      <c r="H45" s="2507"/>
      <c r="I45" s="2527"/>
      <c r="J45" s="2504" t="str">
        <f>I44&amp;".1"</f>
        <v>...1.1</v>
      </c>
      <c r="K45" s="1286"/>
      <c r="L45" s="1287" t="s">
        <v>425</v>
      </c>
      <c r="P45" s="2505"/>
      <c r="Q45" s="2505">
        <v>1</v>
      </c>
      <c r="R45" s="293"/>
      <c r="S45" s="1281" t="str">
        <f>$J45</f>
        <v>...1.1</v>
      </c>
      <c r="T45" s="223" t="s">
        <v>426</v>
      </c>
      <c r="U45" s="237"/>
      <c r="V45" s="2495"/>
      <c r="W45" s="2496"/>
      <c r="X45" s="2496"/>
      <c r="Y45" s="2496"/>
      <c r="Z45" s="2496"/>
      <c r="AA45" s="2496"/>
      <c r="AB45" s="2497"/>
      <c r="AC45" s="2495"/>
      <c r="AD45" s="2496"/>
      <c r="AE45" s="2496"/>
      <c r="AF45" s="2496"/>
      <c r="AG45" s="2496"/>
      <c r="AH45" s="2496"/>
      <c r="AI45" s="2496"/>
      <c r="AJ45" s="2497"/>
      <c r="AK45" s="1230" t="s">
        <v>502</v>
      </c>
      <c r="AM45" s="436"/>
      <c r="AN45" s="436" t="str">
        <f t="shared" si="1"/>
        <v>Группа потребителей</v>
      </c>
      <c r="AO45" s="436"/>
      <c r="AP45" s="436"/>
      <c r="AQ45" s="1078">
        <v>23</v>
      </c>
    </row>
    <row r="46" spans="1:43" ht="24" customHeight="1">
      <c r="A46" s="1286" t="s">
        <v>245</v>
      </c>
      <c r="B46" s="1286" t="s">
        <v>246</v>
      </c>
      <c r="C46" s="1286" t="s">
        <v>247</v>
      </c>
      <c r="D46" s="1286" t="s">
        <v>512</v>
      </c>
      <c r="E46" s="2507"/>
      <c r="F46" s="2507"/>
      <c r="G46" s="2507"/>
      <c r="H46" s="2507"/>
      <c r="I46" s="2527"/>
      <c r="J46" s="2527"/>
      <c r="K46" s="2504" t="str">
        <f>J45&amp;".1"</f>
        <v>...1.1.1</v>
      </c>
      <c r="L46" s="1287"/>
      <c r="P46" s="2505"/>
      <c r="Q46" s="2505"/>
      <c r="R46" s="293">
        <v>1</v>
      </c>
      <c r="S46" s="1281" t="str">
        <f>$K46</f>
        <v>...1.1.1</v>
      </c>
      <c r="T46" s="1360"/>
      <c r="U46" s="237"/>
      <c r="V46" s="1283"/>
      <c r="W46" s="1283"/>
      <c r="X46" s="1284"/>
      <c r="Y46" s="2511"/>
      <c r="Z46" s="2512" t="s">
        <v>63</v>
      </c>
      <c r="AA46" s="2511"/>
      <c r="AB46" s="2512" t="s">
        <v>63</v>
      </c>
      <c r="AC46" s="686"/>
      <c r="AD46" s="686"/>
      <c r="AE46" s="1180"/>
      <c r="AF46" s="2509"/>
      <c r="AG46" s="2360" t="s">
        <v>63</v>
      </c>
      <c r="AH46" s="2528"/>
      <c r="AI46" s="2360" t="s">
        <v>19</v>
      </c>
      <c r="AJ46" s="1361"/>
      <c r="AK46" s="257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8">
        <v>23</v>
      </c>
    </row>
    <row r="47" spans="1:43" ht="0" hidden="1" customHeight="1">
      <c r="A47" s="1286" t="s">
        <v>245</v>
      </c>
      <c r="B47" s="1286" t="s">
        <v>246</v>
      </c>
      <c r="C47" s="1286" t="s">
        <v>247</v>
      </c>
      <c r="D47" s="1286" t="s">
        <v>512</v>
      </c>
      <c r="E47" s="2507"/>
      <c r="F47" s="2507"/>
      <c r="G47" s="2507"/>
      <c r="H47" s="2507"/>
      <c r="I47" s="2527"/>
      <c r="J47" s="2527"/>
      <c r="K47" s="2504"/>
      <c r="L47" s="1287"/>
      <c r="P47" s="2505"/>
      <c r="Q47" s="2505"/>
      <c r="R47" s="293"/>
      <c r="S47" s="1282"/>
      <c r="T47" s="237"/>
      <c r="U47" s="237"/>
      <c r="V47" s="1283"/>
      <c r="W47" s="1283"/>
      <c r="X47" s="265" t="str">
        <f>Y46&amp;"-"&amp;AA46</f>
        <v>-</v>
      </c>
      <c r="Y47" s="2512"/>
      <c r="Z47" s="2512"/>
      <c r="AA47" s="2512"/>
      <c r="AB47" s="2512"/>
      <c r="AC47" s="262"/>
      <c r="AD47" s="262"/>
      <c r="AE47" s="265" t="str">
        <f>AF46&amp;"-"&amp;AH46</f>
        <v>-</v>
      </c>
      <c r="AF47" s="2510"/>
      <c r="AG47" s="2360"/>
      <c r="AH47" s="2529"/>
      <c r="AI47" s="2360"/>
      <c r="AJ47" s="1362"/>
      <c r="AK47" s="2575"/>
      <c r="AM47" s="436"/>
      <c r="AN47" s="436" t="str">
        <f t="shared" si="1"/>
        <v/>
      </c>
      <c r="AO47" s="436"/>
      <c r="AP47" s="436"/>
      <c r="AQ47" s="1078">
        <v>0</v>
      </c>
    </row>
    <row r="48" spans="1:43" ht="21" customHeight="1">
      <c r="A48" s="1286" t="s">
        <v>245</v>
      </c>
      <c r="B48" s="1286" t="s">
        <v>246</v>
      </c>
      <c r="C48" s="1286" t="s">
        <v>247</v>
      </c>
      <c r="D48" s="1286" t="s">
        <v>512</v>
      </c>
      <c r="E48" s="2507"/>
      <c r="F48" s="2507"/>
      <c r="G48" s="2507"/>
      <c r="H48" s="2507"/>
      <c r="I48" s="2527"/>
      <c r="J48" s="2504"/>
      <c r="K48" s="1286"/>
      <c r="L48" s="1287"/>
      <c r="P48" s="2505"/>
      <c r="Q48" s="2505"/>
      <c r="R48" s="292"/>
      <c r="S48" s="1201"/>
      <c r="T48" s="224" t="s">
        <v>503</v>
      </c>
      <c r="U48" s="303"/>
      <c r="V48" s="303"/>
      <c r="W48" s="303"/>
      <c r="X48" s="303"/>
      <c r="Y48" s="303"/>
      <c r="Z48" s="303"/>
      <c r="AA48" s="303"/>
      <c r="AB48" s="303"/>
      <c r="AC48" s="303"/>
      <c r="AD48" s="303"/>
      <c r="AE48" s="303"/>
      <c r="AF48" s="303"/>
      <c r="AG48" s="303"/>
      <c r="AH48" s="303"/>
      <c r="AI48" s="303"/>
      <c r="AJ48" s="303"/>
      <c r="AK48" s="1181" t="s">
        <v>504</v>
      </c>
      <c r="AM48" s="436"/>
      <c r="AN48" s="436" t="str">
        <f t="shared" si="1"/>
        <v>Добавить значение признака дифференциации</v>
      </c>
      <c r="AO48" s="436"/>
      <c r="AP48" s="436"/>
      <c r="AQ48" s="1078">
        <v>20</v>
      </c>
    </row>
    <row r="49" spans="1:43" ht="21.95" customHeight="1">
      <c r="A49" s="1286" t="s">
        <v>245</v>
      </c>
      <c r="B49" s="1286" t="s">
        <v>246</v>
      </c>
      <c r="C49" s="1286" t="s">
        <v>247</v>
      </c>
      <c r="D49" s="1286" t="s">
        <v>512</v>
      </c>
      <c r="E49" s="2507"/>
      <c r="F49" s="2507"/>
      <c r="G49" s="2507"/>
      <c r="H49" s="2507"/>
      <c r="I49" s="2504"/>
      <c r="J49" s="1286"/>
      <c r="K49" s="1286"/>
      <c r="L49" s="1287"/>
      <c r="P49" s="2505"/>
      <c r="Q49" s="1277"/>
      <c r="R49" s="292"/>
      <c r="S49" s="1201"/>
      <c r="T49" s="301" t="s">
        <v>431</v>
      </c>
      <c r="U49" s="303"/>
      <c r="V49" s="303"/>
      <c r="W49" s="303"/>
      <c r="X49" s="303"/>
      <c r="Y49" s="303"/>
      <c r="Z49" s="303"/>
      <c r="AA49" s="303"/>
      <c r="AB49" s="302"/>
      <c r="AC49" s="303"/>
      <c r="AD49" s="303"/>
      <c r="AE49" s="303"/>
      <c r="AF49" s="303"/>
      <c r="AG49" s="303"/>
      <c r="AH49" s="303"/>
      <c r="AI49" s="302"/>
      <c r="AJ49" s="303"/>
      <c r="AK49" s="1363"/>
      <c r="AM49" s="436"/>
      <c r="AN49" s="436" t="str">
        <f t="shared" si="1"/>
        <v>Добавить группу потребителей</v>
      </c>
      <c r="AO49" s="436"/>
      <c r="AP49" s="436"/>
      <c r="AQ49" s="1078">
        <v>21</v>
      </c>
    </row>
    <row r="50" spans="1:43" ht="21.95" customHeight="1">
      <c r="A50" s="1286" t="s">
        <v>245</v>
      </c>
      <c r="B50" s="1286" t="s">
        <v>246</v>
      </c>
      <c r="C50" s="1286" t="s">
        <v>247</v>
      </c>
      <c r="D50" s="1286" t="s">
        <v>512</v>
      </c>
      <c r="E50" s="2507"/>
      <c r="F50" s="2507"/>
      <c r="G50" s="2507"/>
      <c r="H50" s="2506"/>
      <c r="I50" s="1286"/>
      <c r="J50" s="1286"/>
      <c r="K50" s="1286"/>
      <c r="L50" s="1287"/>
      <c r="M50" s="1288"/>
      <c r="N50" s="1288"/>
      <c r="O50" s="473"/>
      <c r="P50" s="296"/>
      <c r="Q50" s="311"/>
      <c r="R50" s="291"/>
      <c r="S50" s="1201"/>
      <c r="T50" s="308" t="s">
        <v>505</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8">
        <v>21</v>
      </c>
    </row>
    <row r="51" spans="1:43" s="1565" customFormat="1" ht="0" hidden="1" customHeight="1">
      <c r="A51" s="1266" t="s">
        <v>245</v>
      </c>
      <c r="B51" s="1266" t="s">
        <v>246</v>
      </c>
      <c r="C51" s="1237"/>
      <c r="D51" s="1237"/>
      <c r="E51" s="2507"/>
      <c r="F51" s="2506"/>
      <c r="G51" s="1237"/>
      <c r="H51" s="1237"/>
      <c r="I51" s="1237"/>
      <c r="J51" s="1237"/>
      <c r="K51" s="1237"/>
      <c r="L51" s="1349"/>
      <c r="M51" s="1244"/>
      <c r="N51" s="1244"/>
      <c r="P51" s="1239"/>
      <c r="Q51" s="1240"/>
      <c r="R51" s="1239"/>
      <c r="S51" s="1245"/>
      <c r="T51" s="1248" t="s">
        <v>434</v>
      </c>
      <c r="U51" s="1247"/>
      <c r="V51" s="1247"/>
      <c r="W51" s="1247"/>
      <c r="X51" s="1247"/>
      <c r="Y51" s="1247"/>
      <c r="Z51" s="1247"/>
      <c r="AA51" s="1247"/>
      <c r="AB51" s="1247"/>
      <c r="AC51" s="1247"/>
      <c r="AD51" s="1247"/>
      <c r="AE51" s="1247"/>
      <c r="AF51" s="1247"/>
      <c r="AG51" s="1247"/>
      <c r="AH51" s="1247"/>
      <c r="AI51" s="1247"/>
      <c r="AJ51" s="1247"/>
      <c r="AK51" s="1247"/>
      <c r="AM51" s="718"/>
      <c r="AN51" s="718" t="str">
        <f t="shared" si="1"/>
        <v>Добавить централизованную систему для дифференциации</v>
      </c>
      <c r="AO51" s="718"/>
      <c r="AP51" s="718"/>
      <c r="AQ51" s="454">
        <v>0</v>
      </c>
    </row>
    <row r="52" spans="1:43" s="1565" customFormat="1" ht="0" hidden="1" customHeight="1">
      <c r="A52" s="1266" t="s">
        <v>245</v>
      </c>
      <c r="B52" s="1266"/>
      <c r="C52" s="1266"/>
      <c r="D52" s="1266"/>
      <c r="E52" s="2506"/>
      <c r="F52" s="1266"/>
      <c r="G52" s="1266"/>
      <c r="H52" s="1266"/>
      <c r="I52" s="1266"/>
      <c r="J52" s="1266"/>
      <c r="K52" s="1266"/>
      <c r="L52" s="1269"/>
      <c r="M52" s="1244"/>
      <c r="N52" s="1244"/>
      <c r="O52" s="454"/>
      <c r="P52" s="316"/>
      <c r="Q52" s="1267"/>
      <c r="R52" s="316"/>
      <c r="S52" s="1245"/>
      <c r="T52" s="1248" t="s">
        <v>435</v>
      </c>
      <c r="U52" s="1247"/>
      <c r="V52" s="1247"/>
      <c r="W52" s="1247"/>
      <c r="X52" s="1247"/>
      <c r="Y52" s="1247"/>
      <c r="Z52" s="1247"/>
      <c r="AA52" s="1247"/>
      <c r="AB52" s="1247"/>
      <c r="AC52" s="1247"/>
      <c r="AD52" s="1247"/>
      <c r="AE52" s="1247"/>
      <c r="AF52" s="1247"/>
      <c r="AG52" s="1247"/>
      <c r="AH52" s="1247"/>
      <c r="AI52" s="1247"/>
      <c r="AJ52" s="1247"/>
      <c r="AK52" s="1247"/>
      <c r="AM52" s="436"/>
      <c r="AN52" s="436" t="str">
        <f t="shared" si="1"/>
        <v>Добавить территорию для дифференциации</v>
      </c>
      <c r="AO52" s="436"/>
      <c r="AP52" s="436"/>
      <c r="AQ52" s="447">
        <v>0</v>
      </c>
    </row>
    <row r="53" spans="1:43" s="1565" customFormat="1" ht="0" hidden="1" customHeight="1">
      <c r="A53" s="1237"/>
      <c r="B53" s="1237"/>
      <c r="C53" s="1237"/>
      <c r="D53" s="1237"/>
      <c r="E53" s="1266"/>
      <c r="F53" s="1237"/>
      <c r="G53" s="1237"/>
      <c r="H53" s="1237"/>
      <c r="I53" s="1237"/>
      <c r="J53" s="1237"/>
      <c r="K53" s="1237"/>
      <c r="L53" s="1349"/>
      <c r="M53" s="1244"/>
      <c r="N53" s="1244"/>
      <c r="P53" s="1239"/>
      <c r="Q53" s="1240"/>
      <c r="R53" s="1239"/>
      <c r="S53" s="1245"/>
      <c r="T53" s="1248" t="s">
        <v>463</v>
      </c>
      <c r="U53" s="1247"/>
      <c r="V53" s="1247"/>
      <c r="W53" s="1247"/>
      <c r="X53" s="1247"/>
      <c r="Y53" s="1247"/>
      <c r="Z53" s="1247"/>
      <c r="AA53" s="1247"/>
      <c r="AB53" s="1247"/>
      <c r="AC53" s="1247"/>
      <c r="AD53" s="1247"/>
      <c r="AE53" s="1247"/>
      <c r="AF53" s="1247"/>
      <c r="AG53" s="1247"/>
      <c r="AH53" s="1247"/>
      <c r="AI53" s="1247"/>
      <c r="AJ53" s="1247"/>
      <c r="AK53" s="1247"/>
      <c r="AM53" s="718"/>
      <c r="AN53" s="718" t="str">
        <f t="shared" si="1"/>
        <v>Добавить наименование тарифа</v>
      </c>
      <c r="AO53" s="718"/>
      <c r="AP53" s="718"/>
      <c r="AQ53" s="454">
        <v>0</v>
      </c>
    </row>
    <row r="54" spans="1:43" ht="11.45" customHeight="1">
      <c r="M54" s="1083"/>
      <c r="N54" s="1083"/>
      <c r="O54" s="473"/>
      <c r="P54" s="1078"/>
      <c r="Q54" s="1078"/>
      <c r="R54" s="1078"/>
      <c r="S54" s="1078"/>
      <c r="AL54" s="1078"/>
      <c r="AM54" s="1078"/>
      <c r="AN54" s="1078"/>
      <c r="AO54" s="1078"/>
      <c r="AP54" s="1078"/>
      <c r="AQ54" s="1078">
        <v>11</v>
      </c>
    </row>
    <row r="55" spans="1:43" ht="14.65" customHeight="1">
      <c r="O55" s="473"/>
      <c r="S55" s="1176"/>
      <c r="T55" s="2526"/>
      <c r="U55" s="2526"/>
      <c r="V55" s="2526"/>
      <c r="W55" s="2526"/>
      <c r="X55" s="2526"/>
      <c r="Y55" s="2526"/>
      <c r="Z55" s="2526"/>
      <c r="AA55" s="2526"/>
      <c r="AB55" s="2526"/>
      <c r="AC55" s="2526"/>
      <c r="AD55" s="2526"/>
      <c r="AE55" s="2526"/>
      <c r="AF55" s="2526"/>
      <c r="AG55" s="2526"/>
      <c r="AH55" s="2526"/>
      <c r="AI55" s="2526"/>
      <c r="AJ55" s="2526"/>
      <c r="AK55" s="2526"/>
      <c r="AQ55" s="1078">
        <v>14</v>
      </c>
    </row>
    <row r="56" spans="1:43" ht="14.65" customHeight="1">
      <c r="O56" s="473"/>
      <c r="AQ56" s="1078">
        <v>14</v>
      </c>
    </row>
    <row r="57" spans="1:43" ht="14.65" customHeight="1">
      <c r="O57" s="473"/>
      <c r="S57" s="1176"/>
      <c r="T57" s="2526"/>
      <c r="U57" s="2526"/>
      <c r="V57" s="2526"/>
      <c r="W57" s="2526"/>
      <c r="X57" s="2526"/>
      <c r="Y57" s="2526"/>
      <c r="Z57" s="2526"/>
      <c r="AA57" s="2526"/>
      <c r="AB57" s="2526"/>
      <c r="AC57" s="2526"/>
      <c r="AD57" s="2526"/>
      <c r="AE57" s="2526"/>
      <c r="AF57" s="2526"/>
      <c r="AG57" s="2526"/>
      <c r="AH57" s="2526"/>
      <c r="AI57" s="2526"/>
      <c r="AJ57" s="2526"/>
      <c r="AK57" s="2526"/>
      <c r="AQ57" s="1078">
        <v>14</v>
      </c>
    </row>
    <row r="58" spans="1:43" ht="22.5" hidden="1" customHeight="1">
      <c r="A58" s="1083" t="s">
        <v>83</v>
      </c>
      <c r="B58" s="1083">
        <v>0</v>
      </c>
      <c r="C58" s="1083">
        <v>0</v>
      </c>
      <c r="D58" s="1083">
        <v>0</v>
      </c>
      <c r="E58" s="1083">
        <v>0</v>
      </c>
      <c r="F58" s="1083">
        <v>0</v>
      </c>
      <c r="G58" s="1083">
        <v>0</v>
      </c>
      <c r="H58" s="1083">
        <v>0</v>
      </c>
      <c r="I58" s="1083">
        <v>0</v>
      </c>
      <c r="J58" s="1083">
        <v>0</v>
      </c>
      <c r="K58" s="1083">
        <v>0</v>
      </c>
      <c r="L58" s="1344">
        <v>0</v>
      </c>
      <c r="M58" s="1285">
        <v>0</v>
      </c>
      <c r="N58" s="1285">
        <v>0</v>
      </c>
      <c r="O58" s="1285">
        <v>0</v>
      </c>
      <c r="P58" s="1274">
        <v>3</v>
      </c>
      <c r="Q58" s="281">
        <v>3</v>
      </c>
      <c r="R58" s="281">
        <v>3</v>
      </c>
      <c r="S58" s="517">
        <v>12</v>
      </c>
      <c r="T58" s="1078">
        <v>35</v>
      </c>
      <c r="U58" s="1078">
        <v>0</v>
      </c>
      <c r="V58" s="1078">
        <v>0</v>
      </c>
      <c r="W58" s="1078">
        <v>0</v>
      </c>
      <c r="X58" s="1078">
        <v>0</v>
      </c>
      <c r="Y58" s="1078">
        <v>0</v>
      </c>
      <c r="Z58" s="1078">
        <v>0</v>
      </c>
      <c r="AA58" s="1078">
        <v>0</v>
      </c>
      <c r="AB58" s="1078">
        <v>0</v>
      </c>
      <c r="AC58" s="1078">
        <v>24</v>
      </c>
      <c r="AD58" s="1078">
        <v>24</v>
      </c>
      <c r="AE58" s="1078">
        <v>24</v>
      </c>
      <c r="AF58" s="1078">
        <v>11</v>
      </c>
      <c r="AG58" s="1078">
        <v>3</v>
      </c>
      <c r="AH58" s="1078">
        <v>11</v>
      </c>
      <c r="AI58" s="1078">
        <v>0</v>
      </c>
      <c r="AJ58" s="1078">
        <v>4</v>
      </c>
      <c r="AK58" s="1078">
        <v>115</v>
      </c>
      <c r="AL58" s="447">
        <v>10</v>
      </c>
      <c r="AM58" s="447">
        <v>10</v>
      </c>
      <c r="AN58" s="447">
        <v>10</v>
      </c>
      <c r="AO58" s="447">
        <v>10</v>
      </c>
      <c r="AP58" s="447">
        <v>10</v>
      </c>
      <c r="AQ58" s="1078">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4.140625" style="1289" hidden="1" customWidth="1"/>
    <col min="10" max="10" width="9.85546875" style="1289" hidden="1" customWidth="1"/>
    <col min="11" max="11" width="14.7109375" style="1289" hidden="1" customWidth="1"/>
    <col min="12" max="12" width="19.140625" style="2043" hidden="1" customWidth="1"/>
    <col min="13" max="14" width="12.28515625" style="1696" hidden="1" customWidth="1"/>
    <col min="15" max="15" width="23.42578125" style="1696" hidden="1" customWidth="1"/>
    <col min="16" max="16" width="3" style="2032" customWidth="1"/>
    <col min="17" max="18" width="3" style="281" customWidth="1"/>
    <col min="19" max="19" width="12" style="2033" customWidth="1"/>
    <col min="20" max="20" width="35" style="1558" customWidth="1"/>
    <col min="21" max="21" width="0.140625" style="1558" customWidth="1"/>
    <col min="22" max="24" width="24.7109375" style="1558" hidden="1" customWidth="1"/>
    <col min="25" max="25" width="11.7109375" style="1558" hidden="1" customWidth="1"/>
    <col min="26" max="26" width="3.7109375" style="1558" hidden="1" customWidth="1"/>
    <col min="27" max="27" width="11.7109375" style="1558" hidden="1" customWidth="1"/>
    <col min="28" max="28" width="8.5703125" style="1558" hidden="1" customWidth="1"/>
    <col min="29" max="29" width="24.7109375" style="1558" customWidth="1"/>
    <col min="30" max="31" width="24" style="1558" customWidth="1"/>
    <col min="32" max="32" width="11" style="1558" customWidth="1"/>
    <col min="33" max="33" width="3.7109375" style="1558" customWidth="1"/>
    <col min="34" max="34" width="11" style="1558" customWidth="1"/>
    <col min="35" max="35" width="8.5703125" style="1558" hidden="1" customWidth="1"/>
    <col min="36" max="36" width="4" style="1558" customWidth="1"/>
    <col min="37" max="37" width="115" style="1558" customWidth="1"/>
    <col min="38" max="42" width="10" style="1565" customWidth="1"/>
    <col min="43" max="43" width="10.5703125" style="1558" hidden="1"/>
  </cols>
  <sheetData>
    <row r="1" spans="1:43" ht="22.5" hidden="1" customHeight="1">
      <c r="X1" s="264"/>
      <c r="Y1" s="264"/>
      <c r="AE1" s="264"/>
      <c r="AF1" s="264"/>
      <c r="AQ1" s="1078" t="s">
        <v>14</v>
      </c>
    </row>
    <row r="2" spans="1:43" ht="23.25" hidden="1" customHeight="1">
      <c r="A2" s="1286"/>
      <c r="B2" s="1286"/>
      <c r="C2" s="1286"/>
      <c r="D2" s="1286"/>
      <c r="E2" s="2506">
        <v>1</v>
      </c>
      <c r="F2" s="1286"/>
      <c r="G2" s="1286"/>
      <c r="H2" s="1286"/>
      <c r="I2" s="1286"/>
      <c r="J2" s="1286"/>
      <c r="K2" s="1286"/>
      <c r="L2" s="1287"/>
      <c r="M2" s="1288"/>
      <c r="N2" s="1288"/>
      <c r="O2" s="1288"/>
      <c r="P2" s="297"/>
      <c r="Q2" s="296"/>
      <c r="R2" s="291"/>
      <c r="S2" s="1380" t="e">
        <f>INDEX(PT_DIFFERENTIATION_NUM_NTAR,MATCH(A2,PT_DIFFERENTIATION_NTAR_ID,0))</f>
        <v>#N/A</v>
      </c>
      <c r="T2" s="235" t="s">
        <v>144</v>
      </c>
      <c r="U2" s="237"/>
      <c r="V2" s="2492"/>
      <c r="W2" s="2493"/>
      <c r="X2" s="2493"/>
      <c r="Y2" s="2493"/>
      <c r="Z2" s="2493"/>
      <c r="AA2" s="2493"/>
      <c r="AB2" s="2494"/>
      <c r="AC2" s="2492" t="e">
        <f>INDEX(PT_DIFFERENTIATION_NTAR,MATCH(A2,PT_DIFFERENTIATION_NTAR_ID,0))</f>
        <v>#N/A</v>
      </c>
      <c r="AD2" s="2493"/>
      <c r="AE2" s="2493"/>
      <c r="AF2" s="2493"/>
      <c r="AG2" s="2493"/>
      <c r="AH2" s="2493"/>
      <c r="AI2" s="2493"/>
      <c r="AJ2" s="2494"/>
      <c r="AK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8">
        <v>0</v>
      </c>
    </row>
    <row r="3" spans="1:43" ht="23.25" hidden="1" customHeight="1">
      <c r="A3" s="1286"/>
      <c r="B3" s="1286"/>
      <c r="C3" s="1286"/>
      <c r="D3" s="1286"/>
      <c r="E3" s="2507"/>
      <c r="F3" s="2506">
        <v>1</v>
      </c>
      <c r="G3" s="1286"/>
      <c r="H3" s="1286"/>
      <c r="I3" s="1286"/>
      <c r="J3" s="1286"/>
      <c r="K3" s="1286"/>
      <c r="L3" s="1287"/>
      <c r="M3" s="1288"/>
      <c r="N3" s="1288"/>
      <c r="O3" s="1288"/>
      <c r="P3" s="1376"/>
      <c r="Q3" s="288"/>
      <c r="R3" s="289"/>
      <c r="S3" s="1380" t="e">
        <f>INDEX(PT_DIFFERENTIATION_NUM_TER,MATCH(B3,PT_DIFFERENTIATION_TER_ID,0))</f>
        <v>#N/A</v>
      </c>
      <c r="T3" s="245" t="s">
        <v>416</v>
      </c>
      <c r="U3" s="237"/>
      <c r="V3" s="2492"/>
      <c r="W3" s="2493"/>
      <c r="X3" s="2493"/>
      <c r="Y3" s="2493"/>
      <c r="Z3" s="2493"/>
      <c r="AA3" s="2493"/>
      <c r="AB3" s="2494"/>
      <c r="AC3" s="2492" t="e">
        <f>INDEX(PT_DIFFERENTIATION_TER,MATCH(B3,PT_DIFFERENTIATION_TER_ID,0))</f>
        <v>#N/A</v>
      </c>
      <c r="AD3" s="2493"/>
      <c r="AE3" s="2493"/>
      <c r="AF3" s="2493"/>
      <c r="AG3" s="2493"/>
      <c r="AH3" s="2493"/>
      <c r="AI3" s="2493"/>
      <c r="AJ3" s="2494"/>
      <c r="AK3" s="1181" t="s">
        <v>417</v>
      </c>
      <c r="AM3" s="436"/>
      <c r="AN3" s="436" t="str">
        <f t="shared" si="0"/>
        <v>Территория действия тарифа</v>
      </c>
      <c r="AO3" s="436"/>
      <c r="AP3" s="436"/>
      <c r="AQ3" s="1078">
        <v>0</v>
      </c>
    </row>
    <row r="4" spans="1:43" ht="23.25" hidden="1" customHeight="1">
      <c r="A4" s="1286"/>
      <c r="B4" s="1286"/>
      <c r="C4" s="1286"/>
      <c r="D4" s="1286"/>
      <c r="E4" s="2507"/>
      <c r="F4" s="2507"/>
      <c r="G4" s="2506">
        <v>1</v>
      </c>
      <c r="H4" s="1286"/>
      <c r="I4" s="1286"/>
      <c r="J4" s="1286"/>
      <c r="K4" s="1286"/>
      <c r="L4" s="1287"/>
      <c r="M4" s="1288"/>
      <c r="N4" s="1288"/>
      <c r="O4" s="1288"/>
      <c r="P4" s="290"/>
      <c r="Q4" s="288"/>
      <c r="R4" s="289"/>
      <c r="S4" s="1380" t="e">
        <f>INDEX(PT_DIFFERENTIATION_NUM_CS,MATCH(C4,PT_DIFFERENTIATION_CS_ID,0))</f>
        <v>#N/A</v>
      </c>
      <c r="T4" s="246" t="s">
        <v>498</v>
      </c>
      <c r="U4" s="237"/>
      <c r="V4" s="2492"/>
      <c r="W4" s="2493"/>
      <c r="X4" s="2493"/>
      <c r="Y4" s="2493"/>
      <c r="Z4" s="2493"/>
      <c r="AA4" s="2493"/>
      <c r="AB4" s="2494"/>
      <c r="AC4" s="2492" t="e">
        <f>INDEX(PT_DIFFERENTIATION_CS,MATCH(C4,PT_DIFFERENTIATION_CS_ID,0))</f>
        <v>#N/A</v>
      </c>
      <c r="AD4" s="2493"/>
      <c r="AE4" s="2493"/>
      <c r="AF4" s="2493"/>
      <c r="AG4" s="2493"/>
      <c r="AH4" s="2493"/>
      <c r="AI4" s="2493"/>
      <c r="AJ4" s="2494"/>
      <c r="AK4" s="1181" t="s">
        <v>499</v>
      </c>
      <c r="AM4" s="436"/>
      <c r="AN4" s="436" t="str">
        <f t="shared" si="0"/>
        <v>Наименование централизованной системы холодного водоснабжения</v>
      </c>
      <c r="AO4" s="436"/>
      <c r="AP4" s="436"/>
      <c r="AQ4" s="1078">
        <v>0</v>
      </c>
    </row>
    <row r="5" spans="1:43" ht="23.25" hidden="1" customHeight="1">
      <c r="A5" s="1286"/>
      <c r="B5" s="1286"/>
      <c r="C5" s="1286"/>
      <c r="D5" s="1286"/>
      <c r="E5" s="2507"/>
      <c r="F5" s="2507"/>
      <c r="G5" s="2507"/>
      <c r="H5" s="2507"/>
      <c r="I5" s="2504" t="e">
        <f>S4&amp;".1"</f>
        <v>#N/A</v>
      </c>
      <c r="J5" s="1286"/>
      <c r="K5" s="1286"/>
      <c r="L5" s="1287"/>
      <c r="P5" s="2505">
        <v>1</v>
      </c>
      <c r="Q5" s="1373"/>
      <c r="R5" s="292"/>
      <c r="S5" s="1380" t="e">
        <f>$I5</f>
        <v>#N/A</v>
      </c>
      <c r="T5" s="222" t="s">
        <v>500</v>
      </c>
      <c r="U5" s="237"/>
      <c r="V5" s="2576"/>
      <c r="W5" s="2577"/>
      <c r="X5" s="2577"/>
      <c r="Y5" s="2577"/>
      <c r="Z5" s="2577"/>
      <c r="AA5" s="2577"/>
      <c r="AB5" s="2578"/>
      <c r="AC5" s="2579"/>
      <c r="AD5" s="2580"/>
      <c r="AE5" s="2580"/>
      <c r="AF5" s="2580"/>
      <c r="AG5" s="2580"/>
      <c r="AH5" s="2580"/>
      <c r="AI5" s="2580"/>
      <c r="AJ5" s="2581"/>
      <c r="AK5" s="1181" t="s">
        <v>501</v>
      </c>
      <c r="AM5" s="436"/>
      <c r="AN5" s="436" t="str">
        <f t="shared" si="0"/>
        <v>Наименование признака дифференциации</v>
      </c>
      <c r="AO5" s="436"/>
      <c r="AP5" s="436"/>
      <c r="AQ5" s="1078">
        <v>0</v>
      </c>
    </row>
    <row r="6" spans="1:43" ht="23.25" hidden="1" customHeight="1">
      <c r="A6" s="1286"/>
      <c r="B6" s="1286"/>
      <c r="C6" s="1286"/>
      <c r="D6" s="1286"/>
      <c r="E6" s="2507"/>
      <c r="F6" s="2507"/>
      <c r="G6" s="2507"/>
      <c r="H6" s="2507"/>
      <c r="I6" s="2527"/>
      <c r="J6" s="2504" t="e">
        <f>I5&amp;".1"</f>
        <v>#N/A</v>
      </c>
      <c r="K6" s="1286"/>
      <c r="L6" s="1287" t="s">
        <v>425</v>
      </c>
      <c r="P6" s="2505"/>
      <c r="Q6" s="2505">
        <v>1</v>
      </c>
      <c r="R6" s="293"/>
      <c r="S6" s="1380" t="e">
        <f>$J6</f>
        <v>#N/A</v>
      </c>
      <c r="T6" s="223" t="s">
        <v>426</v>
      </c>
      <c r="U6" s="237"/>
      <c r="V6" s="2495"/>
      <c r="W6" s="2496"/>
      <c r="X6" s="2496"/>
      <c r="Y6" s="2496"/>
      <c r="Z6" s="2496"/>
      <c r="AA6" s="2496"/>
      <c r="AB6" s="2497"/>
      <c r="AC6" s="2495"/>
      <c r="AD6" s="2496"/>
      <c r="AE6" s="2496"/>
      <c r="AF6" s="2496"/>
      <c r="AG6" s="2496"/>
      <c r="AH6" s="2496"/>
      <c r="AI6" s="2496"/>
      <c r="AJ6" s="2497"/>
      <c r="AK6" s="1230" t="s">
        <v>502</v>
      </c>
      <c r="AM6" s="436"/>
      <c r="AN6" s="436" t="str">
        <f t="shared" si="0"/>
        <v>Группа потребителей</v>
      </c>
      <c r="AO6" s="436"/>
      <c r="AP6" s="436"/>
      <c r="AQ6" s="1078">
        <v>0</v>
      </c>
    </row>
    <row r="7" spans="1:43" ht="23.25" hidden="1" customHeight="1">
      <c r="A7" s="1286"/>
      <c r="B7" s="1286"/>
      <c r="C7" s="1286"/>
      <c r="D7" s="1286"/>
      <c r="E7" s="2507"/>
      <c r="F7" s="2507"/>
      <c r="G7" s="2507"/>
      <c r="H7" s="2507"/>
      <c r="I7" s="2527"/>
      <c r="J7" s="2527"/>
      <c r="K7" s="2504" t="e">
        <f>J6&amp;".1"</f>
        <v>#N/A</v>
      </c>
      <c r="L7" s="1287"/>
      <c r="P7" s="2505"/>
      <c r="Q7" s="2505"/>
      <c r="R7" s="293">
        <v>1</v>
      </c>
      <c r="S7" s="1380" t="e">
        <f>$K7</f>
        <v>#N/A</v>
      </c>
      <c r="T7" s="1360"/>
      <c r="U7" s="237"/>
      <c r="V7" s="686"/>
      <c r="W7" s="686"/>
      <c r="X7" s="1180"/>
      <c r="Y7" s="2509"/>
      <c r="Z7" s="2360" t="s">
        <v>63</v>
      </c>
      <c r="AA7" s="2509"/>
      <c r="AB7" s="2360" t="s">
        <v>63</v>
      </c>
      <c r="AC7" s="686"/>
      <c r="AD7" s="686"/>
      <c r="AE7" s="1180"/>
      <c r="AF7" s="2509"/>
      <c r="AG7" s="2360" t="s">
        <v>63</v>
      </c>
      <c r="AH7" s="2528"/>
      <c r="AI7" s="2360" t="s">
        <v>63</v>
      </c>
      <c r="AJ7" s="1361"/>
      <c r="AK7" s="257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8">
        <v>0</v>
      </c>
    </row>
    <row r="8" spans="1:43" ht="14.25" hidden="1" customHeight="1">
      <c r="A8" s="1286"/>
      <c r="B8" s="1286"/>
      <c r="C8" s="1286"/>
      <c r="D8" s="1286"/>
      <c r="E8" s="2507"/>
      <c r="F8" s="2507"/>
      <c r="G8" s="2507"/>
      <c r="H8" s="2507"/>
      <c r="I8" s="2527"/>
      <c r="J8" s="2527"/>
      <c r="K8" s="2504"/>
      <c r="L8" s="1287"/>
      <c r="P8" s="2505"/>
      <c r="Q8" s="2505"/>
      <c r="R8" s="293"/>
      <c r="S8" s="1379"/>
      <c r="T8" s="237"/>
      <c r="U8" s="237"/>
      <c r="V8" s="262"/>
      <c r="W8" s="262"/>
      <c r="X8" s="265" t="str">
        <f>Y7&amp;"-"&amp;AA7</f>
        <v>-</v>
      </c>
      <c r="Y8" s="2510"/>
      <c r="Z8" s="2360"/>
      <c r="AA8" s="2510"/>
      <c r="AB8" s="2360"/>
      <c r="AC8" s="262"/>
      <c r="AD8" s="262"/>
      <c r="AE8" s="265" t="str">
        <f>AF7&amp;"-"&amp;AH7</f>
        <v>-</v>
      </c>
      <c r="AF8" s="2510"/>
      <c r="AG8" s="2360"/>
      <c r="AH8" s="2529"/>
      <c r="AI8" s="2360"/>
      <c r="AJ8" s="1362"/>
      <c r="AK8" s="2575"/>
      <c r="AM8" s="436"/>
      <c r="AN8" s="436" t="str">
        <f t="shared" si="0"/>
        <v/>
      </c>
      <c r="AO8" s="436"/>
      <c r="AP8" s="436"/>
      <c r="AQ8" s="1078">
        <v>0</v>
      </c>
    </row>
    <row r="9" spans="1:43" ht="21" hidden="1" customHeight="1">
      <c r="A9" s="1286"/>
      <c r="B9" s="1286"/>
      <c r="C9" s="1286"/>
      <c r="D9" s="1286"/>
      <c r="E9" s="2507"/>
      <c r="F9" s="2507"/>
      <c r="G9" s="2507"/>
      <c r="H9" s="2507"/>
      <c r="I9" s="2527"/>
      <c r="J9" s="2504"/>
      <c r="K9" s="1286"/>
      <c r="L9" s="1287"/>
      <c r="P9" s="2505"/>
      <c r="Q9" s="2505"/>
      <c r="R9" s="292"/>
      <c r="S9" s="1201"/>
      <c r="T9" s="224" t="s">
        <v>503</v>
      </c>
      <c r="U9" s="303"/>
      <c r="V9" s="303"/>
      <c r="W9" s="303"/>
      <c r="X9" s="303"/>
      <c r="Y9" s="303"/>
      <c r="Z9" s="303"/>
      <c r="AA9" s="303"/>
      <c r="AB9" s="303"/>
      <c r="AC9" s="303"/>
      <c r="AD9" s="303"/>
      <c r="AE9" s="303"/>
      <c r="AF9" s="303"/>
      <c r="AG9" s="303"/>
      <c r="AH9" s="303"/>
      <c r="AI9" s="303"/>
      <c r="AJ9" s="303"/>
      <c r="AK9" s="1181" t="s">
        <v>504</v>
      </c>
      <c r="AM9" s="436"/>
      <c r="AN9" s="436" t="str">
        <f t="shared" si="0"/>
        <v>Добавить значение признака дифференциации</v>
      </c>
      <c r="AO9" s="436"/>
      <c r="AP9" s="436"/>
      <c r="AQ9" s="1078">
        <v>0</v>
      </c>
    </row>
    <row r="10" spans="1:43" ht="21" hidden="1" customHeight="1">
      <c r="A10" s="1286"/>
      <c r="B10" s="1286"/>
      <c r="C10" s="1286"/>
      <c r="D10" s="1286"/>
      <c r="E10" s="2507"/>
      <c r="F10" s="2507"/>
      <c r="G10" s="2507"/>
      <c r="H10" s="2507"/>
      <c r="I10" s="2504"/>
      <c r="J10" s="1286"/>
      <c r="K10" s="1286"/>
      <c r="L10" s="1287"/>
      <c r="P10" s="2505"/>
      <c r="Q10" s="1373"/>
      <c r="R10" s="292"/>
      <c r="S10" s="1201"/>
      <c r="T10" s="301" t="s">
        <v>431</v>
      </c>
      <c r="U10" s="303"/>
      <c r="V10" s="303"/>
      <c r="W10" s="303"/>
      <c r="X10" s="303"/>
      <c r="Y10" s="303"/>
      <c r="Z10" s="303"/>
      <c r="AA10" s="303"/>
      <c r="AB10" s="302"/>
      <c r="AC10" s="303"/>
      <c r="AD10" s="303"/>
      <c r="AE10" s="303"/>
      <c r="AF10" s="303"/>
      <c r="AG10" s="303"/>
      <c r="AH10" s="303"/>
      <c r="AI10" s="302"/>
      <c r="AJ10" s="303"/>
      <c r="AK10" s="1363"/>
      <c r="AM10" s="436"/>
      <c r="AN10" s="436" t="str">
        <f t="shared" si="0"/>
        <v>Добавить группу потребителей</v>
      </c>
      <c r="AO10" s="436"/>
      <c r="AP10" s="436"/>
      <c r="AQ10" s="1078">
        <v>0</v>
      </c>
    </row>
    <row r="11" spans="1:43" ht="21" hidden="1" customHeight="1">
      <c r="A11" s="1286"/>
      <c r="B11" s="1286"/>
      <c r="C11" s="1286"/>
      <c r="D11" s="1286"/>
      <c r="E11" s="2507"/>
      <c r="F11" s="2507"/>
      <c r="G11" s="2507"/>
      <c r="H11" s="2506"/>
      <c r="I11" s="1286"/>
      <c r="J11" s="1286"/>
      <c r="K11" s="1286"/>
      <c r="L11" s="1287"/>
      <c r="M11" s="1288"/>
      <c r="N11" s="1288"/>
      <c r="O11" s="473"/>
      <c r="P11" s="296"/>
      <c r="Q11" s="311"/>
      <c r="R11" s="291"/>
      <c r="S11" s="1201"/>
      <c r="T11" s="308" t="s">
        <v>505</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8">
        <v>0</v>
      </c>
    </row>
    <row r="12" spans="1:43" s="1565" customFormat="1" ht="14.25" hidden="1" customHeight="1">
      <c r="A12" s="1266"/>
      <c r="B12" s="1266"/>
      <c r="C12" s="1237"/>
      <c r="D12" s="1237"/>
      <c r="E12" s="2507"/>
      <c r="F12" s="2506"/>
      <c r="G12" s="1237"/>
      <c r="H12" s="1237"/>
      <c r="I12" s="1237"/>
      <c r="J12" s="1237"/>
      <c r="K12" s="1237"/>
      <c r="L12" s="1381"/>
      <c r="M12" s="1244"/>
      <c r="N12" s="1244"/>
      <c r="P12" s="1239"/>
      <c r="Q12" s="1240"/>
      <c r="R12" s="1239"/>
      <c r="S12" s="1245"/>
      <c r="T12" s="1248" t="s">
        <v>434</v>
      </c>
      <c r="U12" s="1247"/>
      <c r="V12" s="1247"/>
      <c r="W12" s="1247"/>
      <c r="X12" s="1247"/>
      <c r="Y12" s="1247"/>
      <c r="Z12" s="1247"/>
      <c r="AA12" s="1247"/>
      <c r="AB12" s="1247"/>
      <c r="AC12" s="1247"/>
      <c r="AD12" s="1247"/>
      <c r="AE12" s="1247"/>
      <c r="AF12" s="1247"/>
      <c r="AG12" s="1247"/>
      <c r="AH12" s="1247"/>
      <c r="AI12" s="1247"/>
      <c r="AJ12" s="1247"/>
      <c r="AK12" s="1247"/>
      <c r="AM12" s="718"/>
      <c r="AN12" s="718" t="str">
        <f t="shared" si="0"/>
        <v>Добавить централизованную систему для дифференциации</v>
      </c>
      <c r="AO12" s="718"/>
      <c r="AP12" s="718"/>
      <c r="AQ12" s="454">
        <v>0</v>
      </c>
    </row>
    <row r="13" spans="1:43" s="1565" customFormat="1" ht="14.25" hidden="1" customHeight="1">
      <c r="A13" s="1266"/>
      <c r="B13" s="1266"/>
      <c r="C13" s="1266"/>
      <c r="D13" s="1266"/>
      <c r="E13" s="2506"/>
      <c r="F13" s="1266"/>
      <c r="G13" s="1266"/>
      <c r="H13" s="1266"/>
      <c r="I13" s="1266"/>
      <c r="J13" s="1266"/>
      <c r="K13" s="1266"/>
      <c r="L13" s="1269"/>
      <c r="M13" s="1244"/>
      <c r="N13" s="1244"/>
      <c r="O13" s="454"/>
      <c r="P13" s="316"/>
      <c r="Q13" s="1267"/>
      <c r="R13" s="316"/>
      <c r="S13" s="1245"/>
      <c r="T13" s="1248" t="s">
        <v>435</v>
      </c>
      <c r="U13" s="1247"/>
      <c r="V13" s="1247"/>
      <c r="W13" s="1247"/>
      <c r="X13" s="1247"/>
      <c r="Y13" s="1247"/>
      <c r="Z13" s="1247"/>
      <c r="AA13" s="1247"/>
      <c r="AB13" s="1247"/>
      <c r="AC13" s="1247"/>
      <c r="AD13" s="1247"/>
      <c r="AE13" s="1247"/>
      <c r="AF13" s="1247"/>
      <c r="AG13" s="1247"/>
      <c r="AH13" s="1247"/>
      <c r="AI13" s="1247"/>
      <c r="AJ13" s="1247"/>
      <c r="AK13" s="1247"/>
      <c r="AM13" s="436"/>
      <c r="AN13" s="436" t="str">
        <f t="shared" si="0"/>
        <v>Добавить территорию для дифференциации</v>
      </c>
      <c r="AO13" s="436"/>
      <c r="AP13" s="436"/>
      <c r="AQ13" s="447">
        <v>0</v>
      </c>
    </row>
    <row r="14" spans="1:43" ht="14.25" hidden="1" customHeight="1">
      <c r="AB14" s="264"/>
      <c r="AI14" s="264"/>
      <c r="AQ14" s="1078">
        <v>0</v>
      </c>
    </row>
    <row r="15" spans="1:43" ht="14.25" hidden="1" customHeight="1">
      <c r="AC15" s="1283"/>
      <c r="AD15" s="1283"/>
      <c r="AE15" s="1284"/>
      <c r="AF15" s="2511"/>
      <c r="AG15" s="2512" t="s">
        <v>63</v>
      </c>
      <c r="AH15" s="2511"/>
      <c r="AI15" s="2512" t="s">
        <v>63</v>
      </c>
      <c r="AQ15" s="1078">
        <v>0</v>
      </c>
    </row>
    <row r="16" spans="1:43" ht="14.25" hidden="1" customHeight="1">
      <c r="AC16" s="1283"/>
      <c r="AD16" s="1283"/>
      <c r="AE16" s="265" t="str">
        <f>AF15&amp;"-"&amp;AH15</f>
        <v>-</v>
      </c>
      <c r="AF16" s="2512"/>
      <c r="AG16" s="2512"/>
      <c r="AH16" s="2512"/>
      <c r="AI16" s="2512"/>
      <c r="AQ16" s="1078">
        <v>0</v>
      </c>
    </row>
    <row r="17" spans="1:43" ht="14.25" hidden="1" customHeight="1">
      <c r="AI17" s="264"/>
      <c r="AQ17" s="1078">
        <v>0</v>
      </c>
    </row>
    <row r="18" spans="1:43" s="1289" customFormat="1" ht="22.5" hidden="1" customHeight="1">
      <c r="L18" s="1370"/>
      <c r="M18" s="1285"/>
      <c r="N18" s="1285"/>
      <c r="O18" s="1290" t="s">
        <v>436</v>
      </c>
      <c r="P18" s="1285"/>
      <c r="Q18" s="1294"/>
      <c r="R18" s="1294"/>
      <c r="S18" s="665"/>
      <c r="Y18" s="1290"/>
      <c r="AA18" s="1290"/>
      <c r="AF18" s="1290"/>
      <c r="AH18" s="1290"/>
      <c r="AL18" s="447"/>
      <c r="AM18" s="447"/>
      <c r="AN18" s="447"/>
      <c r="AO18" s="447"/>
      <c r="AP18" s="447"/>
      <c r="AQ18" s="1083">
        <v>0</v>
      </c>
    </row>
    <row r="19" spans="1:43" s="1289" customFormat="1" ht="14.25" hidden="1" customHeight="1">
      <c r="L19" s="1370"/>
      <c r="M19" s="1285"/>
      <c r="N19" s="1285"/>
      <c r="O19" s="1285"/>
      <c r="P19" s="1285"/>
      <c r="Q19" s="1294"/>
      <c r="R19" s="1294"/>
      <c r="S19" s="665"/>
      <c r="AL19" s="447"/>
      <c r="AM19" s="447"/>
      <c r="AN19" s="447"/>
      <c r="AO19" s="447"/>
      <c r="AP19" s="447"/>
      <c r="AQ19" s="1083">
        <v>0</v>
      </c>
    </row>
    <row r="20" spans="1:43" s="1289" customFormat="1" ht="12" hidden="1" customHeight="1">
      <c r="L20" s="1370"/>
      <c r="M20" s="1285"/>
      <c r="N20" s="1285"/>
      <c r="O20" s="1287" t="s">
        <v>437</v>
      </c>
      <c r="P20" s="1285"/>
      <c r="Q20" s="1365"/>
      <c r="R20" s="1365"/>
      <c r="S20" s="665"/>
      <c r="T20" s="1083" t="s">
        <v>438</v>
      </c>
      <c r="Z20" s="123" t="s">
        <v>439</v>
      </c>
      <c r="AB20" s="123" t="s">
        <v>440</v>
      </c>
      <c r="AC20" s="1083" t="s">
        <v>438</v>
      </c>
      <c r="AG20" s="123" t="s">
        <v>441</v>
      </c>
      <c r="AI20" s="123" t="s">
        <v>440</v>
      </c>
      <c r="AQ20" s="1083">
        <v>0</v>
      </c>
    </row>
    <row r="21" spans="1:43" ht="14.25" hidden="1" customHeight="1">
      <c r="O21" s="1287"/>
      <c r="AQ21" s="1078">
        <v>0</v>
      </c>
    </row>
    <row r="22" spans="1:43" ht="14.25" hidden="1" customHeight="1">
      <c r="O22" s="1287"/>
      <c r="AQ22" s="1078">
        <v>0</v>
      </c>
    </row>
    <row r="23" spans="1:43" ht="14.65" customHeight="1">
      <c r="Q23" s="312"/>
      <c r="R23" s="312"/>
      <c r="S23" s="1198"/>
      <c r="T23" s="299"/>
      <c r="U23" s="299"/>
      <c r="V23" s="445"/>
      <c r="W23" s="445"/>
      <c r="X23" s="445"/>
      <c r="Y23" s="445"/>
      <c r="Z23" s="445"/>
      <c r="AA23" s="445"/>
      <c r="AB23" s="445"/>
      <c r="AC23" s="445"/>
      <c r="AD23" s="445"/>
      <c r="AE23" s="445"/>
      <c r="AF23" s="445"/>
      <c r="AG23" s="445"/>
      <c r="AH23" s="445"/>
      <c r="AI23" s="445"/>
      <c r="AQ23" s="1078">
        <v>14</v>
      </c>
    </row>
    <row r="24" spans="1:43" ht="14.65" customHeight="1">
      <c r="Q24" s="312"/>
      <c r="R24" s="312"/>
      <c r="S24" s="249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90"/>
      <c r="U24" s="2490"/>
      <c r="V24" s="2490"/>
      <c r="W24" s="2490"/>
      <c r="X24" s="2490"/>
      <c r="Y24" s="2490"/>
      <c r="Z24" s="2490"/>
      <c r="AA24" s="2490"/>
      <c r="AB24" s="2490"/>
      <c r="AC24" s="2490"/>
      <c r="AD24" s="2490"/>
      <c r="AE24" s="2490"/>
      <c r="AF24" s="2490"/>
      <c r="AG24" s="2490"/>
      <c r="AH24" s="2490"/>
      <c r="AI24" s="1166"/>
      <c r="AQ24" s="1078">
        <v>14</v>
      </c>
    </row>
    <row r="25" spans="1:43" ht="14.65" customHeight="1">
      <c r="Q25" s="312"/>
      <c r="R25" s="312"/>
      <c r="S25" s="2436" t="str">
        <f>IF(org=0,"Не определено",org)</f>
        <v>ПАО "ТГК-2"</v>
      </c>
      <c r="T25" s="2436"/>
      <c r="U25" s="2436"/>
      <c r="V25" s="2436"/>
      <c r="W25" s="2436"/>
      <c r="X25" s="2436"/>
      <c r="Y25" s="2436"/>
      <c r="Z25" s="2436"/>
      <c r="AA25" s="2436"/>
      <c r="AB25" s="2436"/>
      <c r="AC25" s="2436"/>
      <c r="AD25" s="2436"/>
      <c r="AE25" s="2436"/>
      <c r="AF25" s="2436"/>
      <c r="AG25" s="2436"/>
      <c r="AH25" s="2436"/>
      <c r="AI25" s="1166"/>
      <c r="AQ25" s="1078">
        <v>14</v>
      </c>
    </row>
    <row r="26" spans="1:43" ht="14.25" hidden="1" customHeight="1">
      <c r="Q26" s="312"/>
      <c r="R26" s="312"/>
      <c r="S26" s="1198"/>
      <c r="T26" s="299"/>
      <c r="U26" s="299"/>
      <c r="V26" s="259"/>
      <c r="W26" s="259"/>
      <c r="X26" s="259"/>
      <c r="Y26" s="259"/>
      <c r="Z26" s="259"/>
      <c r="AA26" s="259"/>
      <c r="AB26" s="259"/>
      <c r="AC26" s="259"/>
      <c r="AD26" s="259"/>
      <c r="AE26" s="259"/>
      <c r="AF26" s="259"/>
      <c r="AG26" s="259"/>
      <c r="AH26" s="259"/>
      <c r="AI26" s="259"/>
      <c r="AJ26" s="445"/>
      <c r="AQ26" s="1078">
        <v>0</v>
      </c>
    </row>
    <row r="27" spans="1:43" s="1770" customFormat="1" ht="25.5" hidden="1" customHeight="1">
      <c r="A27" s="1291"/>
      <c r="B27" s="1291"/>
      <c r="C27" s="1291"/>
      <c r="D27" s="1291"/>
      <c r="E27" s="1291"/>
      <c r="F27" s="1291"/>
      <c r="G27" s="1291"/>
      <c r="H27" s="1291"/>
      <c r="I27" s="1291"/>
      <c r="J27" s="1291"/>
      <c r="K27" s="1291"/>
      <c r="L27" s="1292"/>
      <c r="M27" s="1291"/>
      <c r="N27" s="1291"/>
      <c r="O27" s="1291"/>
      <c r="S27" s="249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498"/>
      <c r="U27" s="1295"/>
      <c r="V27" s="2499" t="str">
        <f>IF(TITLE_NAME_OR_PR_CHANGE="",IF(TITLE_NAME_OR_PR="","",TITLE_NAME_OR_PR),TITLE_NAME_OR_PR_CHANGE)</f>
        <v/>
      </c>
      <c r="W27" s="2499"/>
      <c r="X27" s="2499"/>
      <c r="Y27" s="2499"/>
      <c r="Z27" s="2499"/>
      <c r="AA27" s="2499"/>
      <c r="AB27" s="263"/>
      <c r="AC27" s="2499" t="str">
        <f>IF(TITLE_NAME_OR_PR_CHANGE="",IF(TITLE_NAME_OR_PR="","",TITLE_NAME_OR_PR),TITLE_NAME_OR_PR_CHANGE)</f>
        <v/>
      </c>
      <c r="AD27" s="2499"/>
      <c r="AE27" s="2499"/>
      <c r="AF27" s="2499"/>
      <c r="AG27" s="2499"/>
      <c r="AH27" s="2499"/>
      <c r="AI27" s="263"/>
      <c r="AJ27" s="263"/>
      <c r="AK27" s="217"/>
      <c r="AL27" s="304"/>
      <c r="AM27" s="304"/>
      <c r="AN27" s="304"/>
      <c r="AO27" s="304"/>
      <c r="AP27" s="304"/>
      <c r="AQ27" s="354">
        <v>0</v>
      </c>
    </row>
    <row r="28" spans="1:43" s="1770" customFormat="1" ht="18.75" hidden="1" customHeight="1">
      <c r="A28" s="1291"/>
      <c r="B28" s="1291"/>
      <c r="C28" s="1291"/>
      <c r="D28" s="1291"/>
      <c r="E28" s="1291"/>
      <c r="F28" s="1291"/>
      <c r="G28" s="1291"/>
      <c r="H28" s="1291"/>
      <c r="I28" s="1291"/>
      <c r="J28" s="1291"/>
      <c r="K28" s="1291"/>
      <c r="L28" s="1292"/>
      <c r="M28" s="1291"/>
      <c r="N28" s="1291"/>
      <c r="O28" s="1291"/>
      <c r="S28" s="2498" t="str">
        <f>"Дата документа об "&amp;IF(TITLE_DATE_PR_CHANGE="","утверждении","изменении")&amp;" тарифов"</f>
        <v>Дата документа об утверждении тарифов</v>
      </c>
      <c r="T28" s="2498"/>
      <c r="U28" s="1295"/>
      <c r="V28" s="2508" t="str">
        <f>IF(TITLE_DATE_PR_CHANGE="",IF(TITLE_DATE_PR="","",TITLE_DATE_PR),TITLE_DATE_PR_CHANGE)</f>
        <v/>
      </c>
      <c r="W28" s="2508"/>
      <c r="X28" s="2508"/>
      <c r="Y28" s="2508"/>
      <c r="Z28" s="2508"/>
      <c r="AA28" s="2508"/>
      <c r="AB28" s="263"/>
      <c r="AC28" s="2508" t="str">
        <f>IF(TITLE_DATE_PR_CHANGE="",IF(TITLE_DATE_PR="","",TITLE_DATE_PR),TITLE_DATE_PR_CHANGE)</f>
        <v/>
      </c>
      <c r="AD28" s="2508"/>
      <c r="AE28" s="2508"/>
      <c r="AF28" s="2508"/>
      <c r="AG28" s="2508"/>
      <c r="AH28" s="2508"/>
      <c r="AI28" s="263"/>
      <c r="AJ28" s="263"/>
      <c r="AK28" s="217"/>
      <c r="AL28" s="304"/>
      <c r="AM28" s="304"/>
      <c r="AN28" s="304"/>
      <c r="AO28" s="304"/>
      <c r="AP28" s="304"/>
      <c r="AQ28" s="354">
        <v>0</v>
      </c>
    </row>
    <row r="29" spans="1:43" s="1770" customFormat="1" ht="18.75" hidden="1" customHeight="1">
      <c r="A29" s="1291"/>
      <c r="B29" s="1291"/>
      <c r="C29" s="1291"/>
      <c r="D29" s="1291"/>
      <c r="E29" s="1291"/>
      <c r="F29" s="1291"/>
      <c r="G29" s="1291"/>
      <c r="H29" s="1291"/>
      <c r="I29" s="1291"/>
      <c r="J29" s="1291"/>
      <c r="K29" s="1291"/>
      <c r="L29" s="1292"/>
      <c r="M29" s="1291"/>
      <c r="N29" s="1291"/>
      <c r="O29" s="1291"/>
      <c r="S29" s="2498" t="str">
        <f>"Номер документа об "&amp;IF(TITLE_DATE_PR_CHANGE="","утверждении","изменении")&amp;" тарифов"</f>
        <v>Номер документа об утверждении тарифов</v>
      </c>
      <c r="T29" s="2498"/>
      <c r="U29" s="1295"/>
      <c r="V29" s="2499" t="str">
        <f>IF(TITLE_NUMBER_PR_CHANGE="",IF(TITLE_NUMBER_PR="","",TITLE_NUMBER_PR),TITLE_NUMBER_PR_CHANGE)</f>
        <v/>
      </c>
      <c r="W29" s="2499"/>
      <c r="X29" s="2499"/>
      <c r="Y29" s="2499"/>
      <c r="Z29" s="2499"/>
      <c r="AA29" s="2499"/>
      <c r="AB29" s="263"/>
      <c r="AC29" s="2499" t="str">
        <f>IF(TITLE_NUMBER_PR_CHANGE="",IF(TITLE_NUMBER_PR="","",TITLE_NUMBER_PR),TITLE_NUMBER_PR_CHANGE)</f>
        <v/>
      </c>
      <c r="AD29" s="2499"/>
      <c r="AE29" s="2499"/>
      <c r="AF29" s="2499"/>
      <c r="AG29" s="2499"/>
      <c r="AH29" s="2499"/>
      <c r="AI29" s="263"/>
      <c r="AJ29" s="263"/>
      <c r="AK29" s="217"/>
      <c r="AL29" s="304"/>
      <c r="AM29" s="304"/>
      <c r="AN29" s="304"/>
      <c r="AO29" s="304"/>
      <c r="AP29" s="304"/>
      <c r="AQ29" s="354">
        <v>0</v>
      </c>
    </row>
    <row r="30" spans="1:43" s="1770" customFormat="1" ht="18.75" hidden="1" customHeight="1">
      <c r="A30" s="1291"/>
      <c r="B30" s="1291"/>
      <c r="C30" s="1291"/>
      <c r="D30" s="1291"/>
      <c r="E30" s="1291"/>
      <c r="F30" s="1291"/>
      <c r="G30" s="1291"/>
      <c r="H30" s="1291"/>
      <c r="I30" s="1291"/>
      <c r="J30" s="1291"/>
      <c r="K30" s="1291"/>
      <c r="L30" s="1292"/>
      <c r="M30" s="1291"/>
      <c r="N30" s="1291"/>
      <c r="O30" s="1291"/>
      <c r="S30" s="2498" t="s">
        <v>43</v>
      </c>
      <c r="T30" s="2498"/>
      <c r="U30" s="1295"/>
      <c r="V30" s="2499" t="str">
        <f>IF(TITLE_IST_PUB_CHANGE="",IF(TITLE_IST_PUB="","",TITLE_IST_PUB),TITLE_IST_PUB_CHANGE)</f>
        <v/>
      </c>
      <c r="W30" s="2499"/>
      <c r="X30" s="2499"/>
      <c r="Y30" s="2499"/>
      <c r="Z30" s="2499"/>
      <c r="AA30" s="2499"/>
      <c r="AB30" s="263"/>
      <c r="AC30" s="2499" t="str">
        <f>IF(TITLE_IST_PUB_CHANGE="",IF(TITLE_IST_PUB="","",TITLE_IST_PUB),TITLE_IST_PUB_CHANGE)</f>
        <v/>
      </c>
      <c r="AD30" s="2499"/>
      <c r="AE30" s="2499"/>
      <c r="AF30" s="2499"/>
      <c r="AG30" s="2499"/>
      <c r="AH30" s="2499"/>
      <c r="AI30" s="263"/>
      <c r="AJ30" s="263"/>
      <c r="AK30" s="217"/>
      <c r="AL30" s="304"/>
      <c r="AM30" s="304"/>
      <c r="AN30" s="304"/>
      <c r="AO30" s="304"/>
      <c r="AP30" s="304"/>
      <c r="AQ30" s="354">
        <v>0</v>
      </c>
    </row>
    <row r="31" spans="1:43" ht="14.25" hidden="1" customHeight="1">
      <c r="Q31" s="312"/>
      <c r="R31" s="312"/>
      <c r="S31" s="1198"/>
      <c r="T31" s="393"/>
      <c r="U31" s="299"/>
      <c r="V31" s="259"/>
      <c r="W31" s="259"/>
      <c r="X31" s="259"/>
      <c r="Y31" s="259"/>
      <c r="Z31" s="259"/>
      <c r="AA31" s="259"/>
      <c r="AB31" s="259"/>
      <c r="AC31" s="259"/>
      <c r="AD31" s="259"/>
      <c r="AE31" s="259"/>
      <c r="AF31" s="259"/>
      <c r="AG31" s="259"/>
      <c r="AH31" s="259"/>
      <c r="AI31" s="259"/>
      <c r="AJ31" s="445"/>
      <c r="AQ31" s="1078">
        <v>0</v>
      </c>
    </row>
    <row r="32" spans="1:43" s="1770" customFormat="1" ht="18.75" hidden="1" customHeight="1">
      <c r="A32" s="1291"/>
      <c r="B32" s="1291"/>
      <c r="C32" s="1291"/>
      <c r="D32" s="1291"/>
      <c r="E32" s="1291"/>
      <c r="F32" s="1291"/>
      <c r="G32" s="1291"/>
      <c r="H32" s="1291"/>
      <c r="I32" s="1291"/>
      <c r="J32" s="1291"/>
      <c r="K32" s="1291"/>
      <c r="L32" s="1292"/>
      <c r="M32" s="1291"/>
      <c r="N32" s="1291"/>
      <c r="O32" s="1291"/>
      <c r="S32" s="2498" t="str">
        <f>"Дата подачи заявления об "&amp;IF(TITLE_DATE_PR_CHANGE="","утверждении","изменении")&amp;" тарифов"</f>
        <v>Дата подачи заявления об утверждении тарифов</v>
      </c>
      <c r="T32" s="2498"/>
      <c r="U32" s="1295"/>
      <c r="V32" s="2508" t="str">
        <f>IF(TITLE_DATE_PR_CHANGE="",IF(TITLE_DATE_PR="","",TITLE_DATE_PR),TITLE_DATE_PR_CHANGE)</f>
        <v/>
      </c>
      <c r="W32" s="2508"/>
      <c r="X32" s="2508"/>
      <c r="Y32" s="2508"/>
      <c r="Z32" s="2508"/>
      <c r="AA32" s="2508"/>
      <c r="AB32" s="263"/>
      <c r="AC32" s="2508" t="str">
        <f>IF(TITLE_DATE_PR_CHANGE="",IF(TITLE_DATE_PR="","",TITLE_DATE_PR),TITLE_DATE_PR_CHANGE)</f>
        <v/>
      </c>
      <c r="AD32" s="2508"/>
      <c r="AE32" s="2508"/>
      <c r="AF32" s="2508"/>
      <c r="AG32" s="2508"/>
      <c r="AH32" s="2508"/>
      <c r="AI32" s="263"/>
      <c r="AJ32" s="263"/>
      <c r="AK32" s="217"/>
      <c r="AL32" s="304"/>
      <c r="AM32" s="304"/>
      <c r="AN32" s="304"/>
      <c r="AO32" s="304"/>
      <c r="AP32" s="304"/>
      <c r="AQ32" s="354">
        <v>0</v>
      </c>
    </row>
    <row r="33" spans="1:43" s="1770" customFormat="1" ht="18.75" hidden="1" customHeight="1">
      <c r="A33" s="1291"/>
      <c r="B33" s="1291"/>
      <c r="C33" s="1291"/>
      <c r="D33" s="1291"/>
      <c r="E33" s="1291"/>
      <c r="F33" s="1291"/>
      <c r="G33" s="1291"/>
      <c r="H33" s="1291"/>
      <c r="I33" s="1291"/>
      <c r="J33" s="1291"/>
      <c r="K33" s="1291"/>
      <c r="L33" s="1292"/>
      <c r="M33" s="1291"/>
      <c r="N33" s="1291"/>
      <c r="O33" s="1291"/>
      <c r="S33" s="2498" t="str">
        <f>"Номер подачи заявления об "&amp;IF(TITLE_DATE_PR_CHANGE="","утверждении","изменении")&amp;" тарифов"</f>
        <v>Номер подачи заявления об утверждении тарифов</v>
      </c>
      <c r="T33" s="2498"/>
      <c r="U33" s="1295"/>
      <c r="V33" s="2499" t="str">
        <f>IF(TITLE_NUMBER_PR_CHANGE="",IF(TITLE_NUMBER_PR="","",TITLE_NUMBER_PR),TITLE_NUMBER_PR_CHANGE)</f>
        <v/>
      </c>
      <c r="W33" s="2499"/>
      <c r="X33" s="2499"/>
      <c r="Y33" s="2499"/>
      <c r="Z33" s="2499"/>
      <c r="AA33" s="2499"/>
      <c r="AB33" s="263"/>
      <c r="AC33" s="2499" t="str">
        <f>IF(TITLE_NUMBER_PR_CHANGE="",IF(TITLE_NUMBER_PR="","",TITLE_NUMBER_PR),TITLE_NUMBER_PR_CHANGE)</f>
        <v/>
      </c>
      <c r="AD33" s="2499"/>
      <c r="AE33" s="2499"/>
      <c r="AF33" s="2499"/>
      <c r="AG33" s="2499"/>
      <c r="AH33" s="2499"/>
      <c r="AI33" s="263"/>
      <c r="AJ33" s="263"/>
      <c r="AK33" s="217"/>
      <c r="AL33" s="304"/>
      <c r="AM33" s="304"/>
      <c r="AN33" s="304"/>
      <c r="AO33" s="304"/>
      <c r="AP33" s="304"/>
      <c r="AQ33" s="354">
        <v>0</v>
      </c>
    </row>
    <row r="34" spans="1:43" s="1770" customFormat="1" ht="1.1499999999999999" customHeight="1">
      <c r="A34" s="1291"/>
      <c r="B34" s="1291"/>
      <c r="C34" s="1291"/>
      <c r="D34" s="1291"/>
      <c r="E34" s="1291"/>
      <c r="F34" s="1291"/>
      <c r="G34" s="1291"/>
      <c r="H34" s="1291"/>
      <c r="I34" s="1291"/>
      <c r="J34" s="1291"/>
      <c r="K34" s="1291"/>
      <c r="L34" s="1292"/>
      <c r="M34" s="1291"/>
      <c r="N34" s="1291"/>
      <c r="O34" s="1291"/>
      <c r="S34" s="260"/>
      <c r="T34" s="260"/>
      <c r="U34" s="1377"/>
      <c r="V34" s="263"/>
      <c r="W34" s="263"/>
      <c r="X34" s="263"/>
      <c r="Y34" s="263"/>
      <c r="Z34" s="263"/>
      <c r="AA34" s="263"/>
      <c r="AB34" s="215" t="s">
        <v>442</v>
      </c>
      <c r="AC34" s="263"/>
      <c r="AD34" s="263"/>
      <c r="AE34" s="263"/>
      <c r="AF34" s="263"/>
      <c r="AG34" s="263"/>
      <c r="AH34" s="263"/>
      <c r="AI34" s="215" t="s">
        <v>442</v>
      </c>
      <c r="AL34" s="304"/>
      <c r="AM34" s="304"/>
      <c r="AN34" s="304"/>
      <c r="AO34" s="304"/>
      <c r="AP34" s="304"/>
      <c r="AQ34" s="354">
        <v>1</v>
      </c>
    </row>
    <row r="35" spans="1:43" ht="14.65" customHeight="1">
      <c r="Q35" s="312"/>
      <c r="R35" s="312"/>
      <c r="S35" s="1198"/>
      <c r="T35" s="299"/>
      <c r="U35" s="1167"/>
      <c r="V35" s="2500"/>
      <c r="W35" s="2500"/>
      <c r="X35" s="2500"/>
      <c r="Y35" s="2500"/>
      <c r="Z35" s="2500"/>
      <c r="AA35" s="2500"/>
      <c r="AB35" s="2500"/>
      <c r="AC35" s="2500"/>
      <c r="AD35" s="2500"/>
      <c r="AE35" s="2500"/>
      <c r="AF35" s="2500"/>
      <c r="AG35" s="2500"/>
      <c r="AH35" s="2500"/>
      <c r="AI35" s="2500"/>
      <c r="AQ35" s="1078">
        <v>14</v>
      </c>
    </row>
    <row r="36" spans="1:43" ht="14.65" customHeight="1">
      <c r="Q36" s="312"/>
      <c r="R36" s="312"/>
      <c r="S36" s="2371" t="s">
        <v>319</v>
      </c>
      <c r="T36" s="2371"/>
      <c r="U36" s="2371"/>
      <c r="V36" s="2371"/>
      <c r="W36" s="2371"/>
      <c r="X36" s="2371"/>
      <c r="Y36" s="2371"/>
      <c r="Z36" s="2371"/>
      <c r="AA36" s="2371"/>
      <c r="AB36" s="2371"/>
      <c r="AC36" s="2371"/>
      <c r="AD36" s="2371"/>
      <c r="AE36" s="2371"/>
      <c r="AF36" s="2371"/>
      <c r="AG36" s="2371"/>
      <c r="AH36" s="2371"/>
      <c r="AI36" s="2371"/>
      <c r="AJ36" s="2371"/>
      <c r="AK36" s="2371" t="s">
        <v>320</v>
      </c>
      <c r="AQ36" s="1078">
        <v>14</v>
      </c>
    </row>
    <row r="37" spans="1:43" ht="14.65" customHeight="1">
      <c r="Q37" s="312"/>
      <c r="R37" s="312"/>
      <c r="S37" s="2514" t="s">
        <v>89</v>
      </c>
      <c r="T37" s="2466" t="s">
        <v>443</v>
      </c>
      <c r="U37" s="238"/>
      <c r="V37" s="2515" t="s">
        <v>444</v>
      </c>
      <c r="W37" s="2516"/>
      <c r="X37" s="2516"/>
      <c r="Y37" s="2516"/>
      <c r="Z37" s="2516"/>
      <c r="AA37" s="2517"/>
      <c r="AB37" s="2518" t="s">
        <v>445</v>
      </c>
      <c r="AC37" s="2515" t="s">
        <v>444</v>
      </c>
      <c r="AD37" s="2516"/>
      <c r="AE37" s="2516"/>
      <c r="AF37" s="2516"/>
      <c r="AG37" s="2516"/>
      <c r="AH37" s="2517"/>
      <c r="AI37" s="2518" t="s">
        <v>446</v>
      </c>
      <c r="AJ37" s="2521" t="s">
        <v>447</v>
      </c>
      <c r="AK37" s="2371"/>
      <c r="AQ37" s="1078">
        <v>14</v>
      </c>
    </row>
    <row r="38" spans="1:43" ht="35.65" customHeight="1">
      <c r="Q38" s="312"/>
      <c r="R38" s="312"/>
      <c r="S38" s="2514"/>
      <c r="T38" s="2466"/>
      <c r="U38" s="958"/>
      <c r="V38" s="1375" t="s">
        <v>506</v>
      </c>
      <c r="W38" s="2350" t="s">
        <v>450</v>
      </c>
      <c r="X38" s="2349"/>
      <c r="Y38" s="2350" t="s">
        <v>451</v>
      </c>
      <c r="Z38" s="2356"/>
      <c r="AA38" s="2349"/>
      <c r="AB38" s="2519"/>
      <c r="AC38" s="1375" t="s">
        <v>506</v>
      </c>
      <c r="AD38" s="2350" t="s">
        <v>450</v>
      </c>
      <c r="AE38" s="2349"/>
      <c r="AF38" s="2350" t="s">
        <v>451</v>
      </c>
      <c r="AG38" s="2356"/>
      <c r="AH38" s="2349"/>
      <c r="AI38" s="2519"/>
      <c r="AJ38" s="2522"/>
      <c r="AK38" s="2371"/>
      <c r="AQ38" s="1078">
        <v>34</v>
      </c>
    </row>
    <row r="39" spans="1:43" ht="35.65" customHeight="1">
      <c r="A39" s="1293"/>
      <c r="B39" s="1293" t="s">
        <v>156</v>
      </c>
      <c r="C39" s="1293" t="s">
        <v>157</v>
      </c>
      <c r="D39" s="1293" t="s">
        <v>158</v>
      </c>
      <c r="E39" s="1287" t="s">
        <v>452</v>
      </c>
      <c r="F39" s="1287" t="s">
        <v>453</v>
      </c>
      <c r="G39" s="1287" t="s">
        <v>454</v>
      </c>
      <c r="H39" s="1287"/>
      <c r="I39" s="1287" t="s">
        <v>507</v>
      </c>
      <c r="J39" s="1287" t="s">
        <v>457</v>
      </c>
      <c r="K39" s="1287" t="s">
        <v>508</v>
      </c>
      <c r="L39" s="1287" t="s">
        <v>437</v>
      </c>
      <c r="Q39" s="312"/>
      <c r="R39" s="312"/>
      <c r="S39" s="2514"/>
      <c r="T39" s="2466"/>
      <c r="U39" s="239"/>
      <c r="V39" s="1375" t="s">
        <v>509</v>
      </c>
      <c r="W39" s="1145" t="s">
        <v>510</v>
      </c>
      <c r="X39" s="1145" t="s">
        <v>511</v>
      </c>
      <c r="Y39" s="1378" t="s">
        <v>461</v>
      </c>
      <c r="Z39" s="2474" t="s">
        <v>462</v>
      </c>
      <c r="AA39" s="2476"/>
      <c r="AB39" s="2520"/>
      <c r="AC39" s="1375" t="s">
        <v>509</v>
      </c>
      <c r="AD39" s="1145" t="s">
        <v>510</v>
      </c>
      <c r="AE39" s="1145" t="s">
        <v>511</v>
      </c>
      <c r="AF39" s="1378" t="s">
        <v>461</v>
      </c>
      <c r="AG39" s="2474" t="s">
        <v>462</v>
      </c>
      <c r="AH39" s="2476"/>
      <c r="AI39" s="2520"/>
      <c r="AJ39" s="2523"/>
      <c r="AK39" s="2371"/>
      <c r="AQ39" s="1078">
        <v>34</v>
      </c>
    </row>
    <row r="40" spans="1:43" s="1564" customFormat="1" ht="0" hidden="1" customHeight="1">
      <c r="A40" s="1293"/>
      <c r="B40" s="1293"/>
      <c r="C40" s="1293"/>
      <c r="D40" s="1293"/>
      <c r="E40" s="1293"/>
      <c r="F40" s="1293"/>
      <c r="G40" s="1293"/>
      <c r="H40" s="1293"/>
      <c r="I40" s="1293"/>
      <c r="J40" s="1293"/>
      <c r="K40" s="1293"/>
      <c r="L40" s="1287"/>
      <c r="M40" s="1285"/>
      <c r="N40" s="1285"/>
      <c r="O40" s="1285"/>
      <c r="P40" s="1169"/>
      <c r="Q40" s="1170"/>
      <c r="R40" s="1177">
        <v>1</v>
      </c>
      <c r="S40" s="1200" t="s">
        <v>100</v>
      </c>
      <c r="T40" s="1178" t="s">
        <v>103</v>
      </c>
      <c r="U40" s="1168" t="str">
        <f ca="1">OFFSET(U40,0,-1)</f>
        <v>2</v>
      </c>
      <c r="V40" s="1374">
        <f ca="1">OFFSET(V40,0,-1)+1</f>
        <v>3</v>
      </c>
      <c r="W40" s="1374">
        <f ca="1">OFFSET(W40,0,-1)+1</f>
        <v>4</v>
      </c>
      <c r="X40" s="1374">
        <f ca="1">OFFSET(X40,0,-1)+1</f>
        <v>5</v>
      </c>
      <c r="Y40" s="1374">
        <f ca="1">OFFSET(Y40,0,-1)+1</f>
        <v>6</v>
      </c>
      <c r="Z40" s="2513">
        <f ca="1">OFFSET(Z40,0,-1)+1</f>
        <v>7</v>
      </c>
      <c r="AA40" s="2513"/>
      <c r="AB40" s="1374">
        <f ca="1">OFFSET(AB40,0,-2)+1</f>
        <v>8</v>
      </c>
      <c r="AC40" s="1374">
        <f ca="1">OFFSET(AC40,0,-1)+1</f>
        <v>9</v>
      </c>
      <c r="AD40" s="1374">
        <f ca="1">OFFSET(AD40,0,-1)+1</f>
        <v>10</v>
      </c>
      <c r="AE40" s="1374">
        <f ca="1">OFFSET(AE40,0,-1)+1</f>
        <v>11</v>
      </c>
      <c r="AF40" s="1374">
        <f ca="1">OFFSET(AF40,0,-1)+1</f>
        <v>12</v>
      </c>
      <c r="AG40" s="2513">
        <f ca="1">OFFSET(AG40,0,-1)+1</f>
        <v>13</v>
      </c>
      <c r="AH40" s="2513"/>
      <c r="AI40" s="1374">
        <f ca="1">OFFSET(AI40,0,-2)+1</f>
        <v>14</v>
      </c>
      <c r="AJ40" s="1168">
        <f ca="1">OFFSET(AJ40,0,-1)</f>
        <v>14</v>
      </c>
      <c r="AK40" s="1374">
        <f ca="1">OFFSET(AK40,0,-1)+1</f>
        <v>15</v>
      </c>
      <c r="AL40" s="447"/>
      <c r="AM40" s="447"/>
      <c r="AN40" s="447"/>
      <c r="AO40" s="447"/>
      <c r="AP40" s="447"/>
      <c r="AQ40" s="432">
        <v>0</v>
      </c>
    </row>
    <row r="41" spans="1:43" ht="24" customHeight="1">
      <c r="A41" s="1286" t="s">
        <v>250</v>
      </c>
      <c r="B41" s="1286"/>
      <c r="C41" s="1286"/>
      <c r="D41" s="1286"/>
      <c r="E41" s="2506">
        <v>1</v>
      </c>
      <c r="F41" s="1286"/>
      <c r="G41" s="1286"/>
      <c r="H41" s="1286"/>
      <c r="I41" s="1286"/>
      <c r="J41" s="1286"/>
      <c r="K41" s="1286"/>
      <c r="L41" s="1287"/>
      <c r="M41" s="1288"/>
      <c r="N41" s="1288"/>
      <c r="O41" s="1288"/>
      <c r="P41" s="297"/>
      <c r="Q41" s="296"/>
      <c r="R41" s="291"/>
      <c r="S41" s="1380">
        <f>INDEX(PT_DIFFERENTIATION_NUM_NTAR,MATCH(A41,PT_DIFFERENTIATION_NTAR_ID,0))</f>
        <v>0</v>
      </c>
      <c r="T41" s="235" t="s">
        <v>144</v>
      </c>
      <c r="U41" s="237"/>
      <c r="V41" s="2492"/>
      <c r="W41" s="2493"/>
      <c r="X41" s="2493"/>
      <c r="Y41" s="2493"/>
      <c r="Z41" s="2493"/>
      <c r="AA41" s="2493"/>
      <c r="AB41" s="2494"/>
      <c r="AC41" s="2492" t="str">
        <f>INDEX(PT_DIFFERENTIATION_NTAR,MATCH(A41,PT_DIFFERENTIATION_NTAR_ID,0))</f>
        <v/>
      </c>
      <c r="AD41" s="2493"/>
      <c r="AE41" s="2493"/>
      <c r="AF41" s="2493"/>
      <c r="AG41" s="2493"/>
      <c r="AH41" s="2493"/>
      <c r="AI41" s="2493"/>
      <c r="AJ41" s="2494"/>
      <c r="AK41"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8">
        <v>23</v>
      </c>
    </row>
    <row r="42" spans="1:43" ht="24" customHeight="1">
      <c r="A42" s="1286" t="s">
        <v>250</v>
      </c>
      <c r="B42" s="1286" t="s">
        <v>251</v>
      </c>
      <c r="C42" s="1286"/>
      <c r="D42" s="1286"/>
      <c r="E42" s="2507"/>
      <c r="F42" s="2506">
        <v>1</v>
      </c>
      <c r="G42" s="1286"/>
      <c r="H42" s="1286"/>
      <c r="I42" s="1286"/>
      <c r="J42" s="1286"/>
      <c r="K42" s="1286"/>
      <c r="L42" s="1287"/>
      <c r="M42" s="1288"/>
      <c r="N42" s="1288"/>
      <c r="O42" s="1288"/>
      <c r="P42" s="1376"/>
      <c r="Q42" s="288"/>
      <c r="R42" s="289"/>
      <c r="S42" s="1380" t="str">
        <f>INDEX(PT_DIFFERENTIATION_NUM_TER,MATCH(B42,PT_DIFFERENTIATION_TER_ID,0))</f>
        <v>.</v>
      </c>
      <c r="T42" s="245" t="s">
        <v>416</v>
      </c>
      <c r="U42" s="237"/>
      <c r="V42" s="2492"/>
      <c r="W42" s="2493"/>
      <c r="X42" s="2493"/>
      <c r="Y42" s="2493"/>
      <c r="Z42" s="2493"/>
      <c r="AA42" s="2493"/>
      <c r="AB42" s="2494"/>
      <c r="AC42" s="2492" t="str">
        <f>INDEX(PT_DIFFERENTIATION_TER,MATCH(B42,PT_DIFFERENTIATION_TER_ID,0))</f>
        <v/>
      </c>
      <c r="AD42" s="2493"/>
      <c r="AE42" s="2493"/>
      <c r="AF42" s="2493"/>
      <c r="AG42" s="2493"/>
      <c r="AH42" s="2493"/>
      <c r="AI42" s="2493"/>
      <c r="AJ42" s="2494"/>
      <c r="AK42" s="1181" t="s">
        <v>417</v>
      </c>
      <c r="AM42" s="436"/>
      <c r="AN42" s="436" t="str">
        <f t="shared" si="1"/>
        <v>Территория действия тарифа</v>
      </c>
      <c r="AO42" s="436"/>
      <c r="AP42" s="436"/>
      <c r="AQ42" s="1078">
        <v>23</v>
      </c>
    </row>
    <row r="43" spans="1:43" ht="24" customHeight="1">
      <c r="A43" s="1286" t="s">
        <v>250</v>
      </c>
      <c r="B43" s="1286" t="s">
        <v>251</v>
      </c>
      <c r="C43" s="1286" t="s">
        <v>252</v>
      </c>
      <c r="D43" s="1286"/>
      <c r="E43" s="2507"/>
      <c r="F43" s="2507"/>
      <c r="G43" s="2506">
        <v>1</v>
      </c>
      <c r="H43" s="1286"/>
      <c r="I43" s="1286"/>
      <c r="J43" s="1286"/>
      <c r="K43" s="1286"/>
      <c r="L43" s="1287"/>
      <c r="M43" s="1288"/>
      <c r="N43" s="1288"/>
      <c r="O43" s="1288"/>
      <c r="P43" s="290"/>
      <c r="Q43" s="288"/>
      <c r="R43" s="289"/>
      <c r="S43" s="1380" t="str">
        <f>INDEX(PT_DIFFERENTIATION_NUM_CS,MATCH(C43,PT_DIFFERENTIATION_CS_ID,0))</f>
        <v>..</v>
      </c>
      <c r="T43" s="246" t="s">
        <v>498</v>
      </c>
      <c r="U43" s="237"/>
      <c r="V43" s="2492"/>
      <c r="W43" s="2493"/>
      <c r="X43" s="2493"/>
      <c r="Y43" s="2493"/>
      <c r="Z43" s="2493"/>
      <c r="AA43" s="2493"/>
      <c r="AB43" s="2494"/>
      <c r="AC43" s="2492" t="str">
        <f>INDEX(PT_DIFFERENTIATION_CS,MATCH(C43,PT_DIFFERENTIATION_CS_ID,0))</f>
        <v/>
      </c>
      <c r="AD43" s="2493"/>
      <c r="AE43" s="2493"/>
      <c r="AF43" s="2493"/>
      <c r="AG43" s="2493"/>
      <c r="AH43" s="2493"/>
      <c r="AI43" s="2493"/>
      <c r="AJ43" s="2494"/>
      <c r="AK43" s="1181" t="s">
        <v>499</v>
      </c>
      <c r="AM43" s="436"/>
      <c r="AN43" s="436" t="str">
        <f t="shared" si="1"/>
        <v>Наименование централизованной системы холодного водоснабжения</v>
      </c>
      <c r="AO43" s="436"/>
      <c r="AP43" s="436"/>
      <c r="AQ43" s="1078">
        <v>23</v>
      </c>
    </row>
    <row r="44" spans="1:43" ht="24" customHeight="1">
      <c r="A44" s="1286" t="s">
        <v>250</v>
      </c>
      <c r="B44" s="1286" t="s">
        <v>251</v>
      </c>
      <c r="C44" s="1286" t="s">
        <v>252</v>
      </c>
      <c r="D44" s="1286" t="s">
        <v>513</v>
      </c>
      <c r="E44" s="2507"/>
      <c r="F44" s="2507"/>
      <c r="G44" s="2507"/>
      <c r="H44" s="2507"/>
      <c r="I44" s="2504" t="str">
        <f>S43&amp;".1"</f>
        <v>...1</v>
      </c>
      <c r="J44" s="1286"/>
      <c r="K44" s="1286"/>
      <c r="L44" s="1287"/>
      <c r="P44" s="2505">
        <v>1</v>
      </c>
      <c r="Q44" s="1373"/>
      <c r="R44" s="292"/>
      <c r="S44" s="1380" t="str">
        <f>$I44</f>
        <v>...1</v>
      </c>
      <c r="T44" s="222" t="s">
        <v>500</v>
      </c>
      <c r="U44" s="237"/>
      <c r="V44" s="2576"/>
      <c r="W44" s="2577"/>
      <c r="X44" s="2577"/>
      <c r="Y44" s="2577"/>
      <c r="Z44" s="2577"/>
      <c r="AA44" s="2577"/>
      <c r="AB44" s="2578"/>
      <c r="AC44" s="2579"/>
      <c r="AD44" s="2580"/>
      <c r="AE44" s="2580"/>
      <c r="AF44" s="2580"/>
      <c r="AG44" s="2580"/>
      <c r="AH44" s="2580"/>
      <c r="AI44" s="2580"/>
      <c r="AJ44" s="2581"/>
      <c r="AK44" s="1181" t="s">
        <v>501</v>
      </c>
      <c r="AM44" s="436"/>
      <c r="AN44" s="436" t="str">
        <f t="shared" si="1"/>
        <v>Наименование признака дифференциации</v>
      </c>
      <c r="AO44" s="436"/>
      <c r="AP44" s="436"/>
      <c r="AQ44" s="1078">
        <v>23</v>
      </c>
    </row>
    <row r="45" spans="1:43" ht="24" customHeight="1">
      <c r="A45" s="1286" t="s">
        <v>250</v>
      </c>
      <c r="B45" s="1286" t="s">
        <v>251</v>
      </c>
      <c r="C45" s="1286" t="s">
        <v>252</v>
      </c>
      <c r="D45" s="1286" t="s">
        <v>513</v>
      </c>
      <c r="E45" s="2507"/>
      <c r="F45" s="2507"/>
      <c r="G45" s="2507"/>
      <c r="H45" s="2507"/>
      <c r="I45" s="2527"/>
      <c r="J45" s="2504" t="str">
        <f>I44&amp;".1"</f>
        <v>...1.1</v>
      </c>
      <c r="K45" s="1286"/>
      <c r="L45" s="1287" t="s">
        <v>425</v>
      </c>
      <c r="P45" s="2505"/>
      <c r="Q45" s="2505">
        <v>1</v>
      </c>
      <c r="R45" s="293"/>
      <c r="S45" s="1380" t="str">
        <f>$J45</f>
        <v>...1.1</v>
      </c>
      <c r="T45" s="223" t="s">
        <v>426</v>
      </c>
      <c r="U45" s="237"/>
      <c r="V45" s="2495"/>
      <c r="W45" s="2496"/>
      <c r="X45" s="2496"/>
      <c r="Y45" s="2496"/>
      <c r="Z45" s="2496"/>
      <c r="AA45" s="2496"/>
      <c r="AB45" s="2497"/>
      <c r="AC45" s="2495"/>
      <c r="AD45" s="2496"/>
      <c r="AE45" s="2496"/>
      <c r="AF45" s="2496"/>
      <c r="AG45" s="2496"/>
      <c r="AH45" s="2496"/>
      <c r="AI45" s="2496"/>
      <c r="AJ45" s="2497"/>
      <c r="AK45" s="1230" t="s">
        <v>502</v>
      </c>
      <c r="AM45" s="436"/>
      <c r="AN45" s="436" t="str">
        <f t="shared" si="1"/>
        <v>Группа потребителей</v>
      </c>
      <c r="AO45" s="436"/>
      <c r="AP45" s="436"/>
      <c r="AQ45" s="1078">
        <v>23</v>
      </c>
    </row>
    <row r="46" spans="1:43" ht="24" customHeight="1">
      <c r="A46" s="1286" t="s">
        <v>250</v>
      </c>
      <c r="B46" s="1286" t="s">
        <v>251</v>
      </c>
      <c r="C46" s="1286" t="s">
        <v>252</v>
      </c>
      <c r="D46" s="1286" t="s">
        <v>513</v>
      </c>
      <c r="E46" s="2507"/>
      <c r="F46" s="2507"/>
      <c r="G46" s="2507"/>
      <c r="H46" s="2507"/>
      <c r="I46" s="2527"/>
      <c r="J46" s="2527"/>
      <c r="K46" s="2504" t="str">
        <f>J45&amp;".1"</f>
        <v>...1.1.1</v>
      </c>
      <c r="L46" s="1287"/>
      <c r="P46" s="2505"/>
      <c r="Q46" s="2505"/>
      <c r="R46" s="293">
        <v>1</v>
      </c>
      <c r="S46" s="1380" t="str">
        <f>$K46</f>
        <v>...1.1.1</v>
      </c>
      <c r="T46" s="1360"/>
      <c r="U46" s="237"/>
      <c r="V46" s="686"/>
      <c r="W46" s="686"/>
      <c r="X46" s="1180"/>
      <c r="Y46" s="2509"/>
      <c r="Z46" s="2360" t="s">
        <v>63</v>
      </c>
      <c r="AA46" s="2509"/>
      <c r="AB46" s="2360" t="s">
        <v>63</v>
      </c>
      <c r="AC46" s="686"/>
      <c r="AD46" s="686"/>
      <c r="AE46" s="1180"/>
      <c r="AF46" s="2509"/>
      <c r="AG46" s="2360" t="s">
        <v>63</v>
      </c>
      <c r="AH46" s="2528"/>
      <c r="AI46" s="2360" t="s">
        <v>63</v>
      </c>
      <c r="AJ46" s="1361"/>
      <c r="AK46" s="257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8">
        <v>23</v>
      </c>
    </row>
    <row r="47" spans="1:43" ht="0" hidden="1" customHeight="1">
      <c r="A47" s="1286" t="s">
        <v>250</v>
      </c>
      <c r="B47" s="1286" t="s">
        <v>251</v>
      </c>
      <c r="C47" s="1286" t="s">
        <v>252</v>
      </c>
      <c r="D47" s="1286" t="s">
        <v>513</v>
      </c>
      <c r="E47" s="2507"/>
      <c r="F47" s="2507"/>
      <c r="G47" s="2507"/>
      <c r="H47" s="2507"/>
      <c r="I47" s="2527"/>
      <c r="J47" s="2527"/>
      <c r="K47" s="2504"/>
      <c r="L47" s="1287"/>
      <c r="P47" s="2505"/>
      <c r="Q47" s="2505"/>
      <c r="R47" s="293"/>
      <c r="S47" s="1379"/>
      <c r="T47" s="237"/>
      <c r="U47" s="237"/>
      <c r="V47" s="262"/>
      <c r="W47" s="262"/>
      <c r="X47" s="265" t="str">
        <f>Y46&amp;"-"&amp;AA46</f>
        <v>-</v>
      </c>
      <c r="Y47" s="2510"/>
      <c r="Z47" s="2360"/>
      <c r="AA47" s="2510"/>
      <c r="AB47" s="2360"/>
      <c r="AC47" s="262"/>
      <c r="AD47" s="262"/>
      <c r="AE47" s="265" t="str">
        <f>AF46&amp;"-"&amp;AH46</f>
        <v>-</v>
      </c>
      <c r="AF47" s="2510"/>
      <c r="AG47" s="2360"/>
      <c r="AH47" s="2529"/>
      <c r="AI47" s="2360"/>
      <c r="AJ47" s="1362"/>
      <c r="AK47" s="2575"/>
      <c r="AM47" s="436"/>
      <c r="AN47" s="436" t="str">
        <f t="shared" si="1"/>
        <v/>
      </c>
      <c r="AO47" s="436"/>
      <c r="AP47" s="436"/>
      <c r="AQ47" s="1078">
        <v>0</v>
      </c>
    </row>
    <row r="48" spans="1:43" ht="21" customHeight="1">
      <c r="A48" s="1286" t="s">
        <v>250</v>
      </c>
      <c r="B48" s="1286" t="s">
        <v>251</v>
      </c>
      <c r="C48" s="1286" t="s">
        <v>252</v>
      </c>
      <c r="D48" s="1286" t="s">
        <v>513</v>
      </c>
      <c r="E48" s="2507"/>
      <c r="F48" s="2507"/>
      <c r="G48" s="2507"/>
      <c r="H48" s="2507"/>
      <c r="I48" s="2527"/>
      <c r="J48" s="2504"/>
      <c r="K48" s="1286"/>
      <c r="L48" s="1287"/>
      <c r="P48" s="2505"/>
      <c r="Q48" s="2505"/>
      <c r="R48" s="292"/>
      <c r="S48" s="1201"/>
      <c r="T48" s="224" t="s">
        <v>503</v>
      </c>
      <c r="U48" s="303"/>
      <c r="V48" s="303"/>
      <c r="W48" s="303"/>
      <c r="X48" s="303"/>
      <c r="Y48" s="303"/>
      <c r="Z48" s="303"/>
      <c r="AA48" s="303"/>
      <c r="AB48" s="303"/>
      <c r="AC48" s="303"/>
      <c r="AD48" s="303"/>
      <c r="AE48" s="303"/>
      <c r="AF48" s="303"/>
      <c r="AG48" s="303"/>
      <c r="AH48" s="303"/>
      <c r="AI48" s="303"/>
      <c r="AJ48" s="303"/>
      <c r="AK48" s="1181" t="s">
        <v>504</v>
      </c>
      <c r="AM48" s="436"/>
      <c r="AN48" s="436" t="str">
        <f t="shared" si="1"/>
        <v>Добавить значение признака дифференциации</v>
      </c>
      <c r="AO48" s="436"/>
      <c r="AP48" s="436"/>
      <c r="AQ48" s="1078">
        <v>20</v>
      </c>
    </row>
    <row r="49" spans="1:43" ht="21.95" customHeight="1">
      <c r="A49" s="1286" t="s">
        <v>250</v>
      </c>
      <c r="B49" s="1286" t="s">
        <v>251</v>
      </c>
      <c r="C49" s="1286" t="s">
        <v>252</v>
      </c>
      <c r="D49" s="1286" t="s">
        <v>513</v>
      </c>
      <c r="E49" s="2507"/>
      <c r="F49" s="2507"/>
      <c r="G49" s="2507"/>
      <c r="H49" s="2507"/>
      <c r="I49" s="2504"/>
      <c r="J49" s="1286"/>
      <c r="K49" s="1286"/>
      <c r="L49" s="1287"/>
      <c r="P49" s="2505"/>
      <c r="Q49" s="1373"/>
      <c r="R49" s="292"/>
      <c r="S49" s="1201"/>
      <c r="T49" s="301" t="s">
        <v>431</v>
      </c>
      <c r="U49" s="303"/>
      <c r="V49" s="303"/>
      <c r="W49" s="303"/>
      <c r="X49" s="303"/>
      <c r="Y49" s="303"/>
      <c r="Z49" s="303"/>
      <c r="AA49" s="303"/>
      <c r="AB49" s="302"/>
      <c r="AC49" s="303"/>
      <c r="AD49" s="303"/>
      <c r="AE49" s="303"/>
      <c r="AF49" s="303"/>
      <c r="AG49" s="303"/>
      <c r="AH49" s="303"/>
      <c r="AI49" s="302"/>
      <c r="AJ49" s="303"/>
      <c r="AK49" s="1363"/>
      <c r="AM49" s="436"/>
      <c r="AN49" s="436" t="str">
        <f t="shared" si="1"/>
        <v>Добавить группу потребителей</v>
      </c>
      <c r="AO49" s="436"/>
      <c r="AP49" s="436"/>
      <c r="AQ49" s="1078">
        <v>21</v>
      </c>
    </row>
    <row r="50" spans="1:43" ht="21.95" customHeight="1">
      <c r="A50" s="1286" t="s">
        <v>250</v>
      </c>
      <c r="B50" s="1286" t="s">
        <v>251</v>
      </c>
      <c r="C50" s="1286" t="s">
        <v>252</v>
      </c>
      <c r="D50" s="1286" t="s">
        <v>513</v>
      </c>
      <c r="E50" s="2507"/>
      <c r="F50" s="2507"/>
      <c r="G50" s="2507"/>
      <c r="H50" s="2506"/>
      <c r="I50" s="1286"/>
      <c r="J50" s="1286"/>
      <c r="K50" s="1286"/>
      <c r="L50" s="1287"/>
      <c r="M50" s="1288"/>
      <c r="N50" s="1288"/>
      <c r="O50" s="473"/>
      <c r="P50" s="296"/>
      <c r="Q50" s="311"/>
      <c r="R50" s="291"/>
      <c r="S50" s="1201"/>
      <c r="T50" s="308" t="s">
        <v>505</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8">
        <v>21</v>
      </c>
    </row>
    <row r="51" spans="1:43" s="1565" customFormat="1" ht="0" hidden="1" customHeight="1">
      <c r="A51" s="1266" t="s">
        <v>250</v>
      </c>
      <c r="B51" s="1266" t="s">
        <v>251</v>
      </c>
      <c r="C51" s="1237"/>
      <c r="D51" s="1237"/>
      <c r="E51" s="2507"/>
      <c r="F51" s="2506"/>
      <c r="G51" s="1237"/>
      <c r="H51" s="1237"/>
      <c r="I51" s="1237"/>
      <c r="J51" s="1237"/>
      <c r="K51" s="1237"/>
      <c r="L51" s="1381"/>
      <c r="M51" s="1244"/>
      <c r="N51" s="1244"/>
      <c r="P51" s="1239"/>
      <c r="Q51" s="1240"/>
      <c r="R51" s="1239"/>
      <c r="S51" s="1245"/>
      <c r="T51" s="1248" t="s">
        <v>434</v>
      </c>
      <c r="U51" s="1247"/>
      <c r="V51" s="1247"/>
      <c r="W51" s="1247"/>
      <c r="X51" s="1247"/>
      <c r="Y51" s="1247"/>
      <c r="Z51" s="1247"/>
      <c r="AA51" s="1247"/>
      <c r="AB51" s="1247"/>
      <c r="AC51" s="1247"/>
      <c r="AD51" s="1247"/>
      <c r="AE51" s="1247"/>
      <c r="AF51" s="1247"/>
      <c r="AG51" s="1247"/>
      <c r="AH51" s="1247"/>
      <c r="AI51" s="1247"/>
      <c r="AJ51" s="1247"/>
      <c r="AK51" s="1247"/>
      <c r="AM51" s="718"/>
      <c r="AN51" s="718" t="str">
        <f t="shared" si="1"/>
        <v>Добавить централизованную систему для дифференциации</v>
      </c>
      <c r="AO51" s="718"/>
      <c r="AP51" s="718"/>
      <c r="AQ51" s="454">
        <v>0</v>
      </c>
    </row>
    <row r="52" spans="1:43" s="1565" customFormat="1" ht="0" hidden="1" customHeight="1">
      <c r="A52" s="1266" t="s">
        <v>250</v>
      </c>
      <c r="B52" s="1266"/>
      <c r="C52" s="1266"/>
      <c r="D52" s="1266"/>
      <c r="E52" s="2506"/>
      <c r="F52" s="1266"/>
      <c r="G52" s="1266"/>
      <c r="H52" s="1266"/>
      <c r="I52" s="1266"/>
      <c r="J52" s="1266"/>
      <c r="K52" s="1266"/>
      <c r="L52" s="1269"/>
      <c r="M52" s="1244"/>
      <c r="N52" s="1244"/>
      <c r="O52" s="454"/>
      <c r="P52" s="316"/>
      <c r="Q52" s="1267"/>
      <c r="R52" s="316"/>
      <c r="S52" s="1245"/>
      <c r="T52" s="1248" t="s">
        <v>435</v>
      </c>
      <c r="U52" s="1247"/>
      <c r="V52" s="1247"/>
      <c r="W52" s="1247"/>
      <c r="X52" s="1247"/>
      <c r="Y52" s="1247"/>
      <c r="Z52" s="1247"/>
      <c r="AA52" s="1247"/>
      <c r="AB52" s="1247"/>
      <c r="AC52" s="1247"/>
      <c r="AD52" s="1247"/>
      <c r="AE52" s="1247"/>
      <c r="AF52" s="1247"/>
      <c r="AG52" s="1247"/>
      <c r="AH52" s="1247"/>
      <c r="AI52" s="1247"/>
      <c r="AJ52" s="1247"/>
      <c r="AK52" s="1247"/>
      <c r="AM52" s="436"/>
      <c r="AN52" s="436" t="str">
        <f t="shared" si="1"/>
        <v>Добавить территорию для дифференциации</v>
      </c>
      <c r="AO52" s="436"/>
      <c r="AP52" s="436"/>
      <c r="AQ52" s="447">
        <v>0</v>
      </c>
    </row>
    <row r="53" spans="1:43" s="1565" customFormat="1" ht="0" hidden="1" customHeight="1">
      <c r="A53" s="1237"/>
      <c r="B53" s="1237"/>
      <c r="C53" s="1237"/>
      <c r="D53" s="1237"/>
      <c r="E53" s="1266"/>
      <c r="F53" s="1237"/>
      <c r="G53" s="1237"/>
      <c r="H53" s="1237"/>
      <c r="I53" s="1237"/>
      <c r="J53" s="1237"/>
      <c r="K53" s="1237"/>
      <c r="L53" s="1381"/>
      <c r="M53" s="1244"/>
      <c r="N53" s="1244"/>
      <c r="P53" s="1239"/>
      <c r="Q53" s="1240"/>
      <c r="R53" s="1239"/>
      <c r="S53" s="1245"/>
      <c r="T53" s="1248" t="s">
        <v>463</v>
      </c>
      <c r="U53" s="1247"/>
      <c r="V53" s="1247"/>
      <c r="W53" s="1247"/>
      <c r="X53" s="1247"/>
      <c r="Y53" s="1247"/>
      <c r="Z53" s="1247"/>
      <c r="AA53" s="1247"/>
      <c r="AB53" s="1247"/>
      <c r="AC53" s="1247"/>
      <c r="AD53" s="1247"/>
      <c r="AE53" s="1247"/>
      <c r="AF53" s="1247"/>
      <c r="AG53" s="1247"/>
      <c r="AH53" s="1247"/>
      <c r="AI53" s="1247"/>
      <c r="AJ53" s="1247"/>
      <c r="AK53" s="1247"/>
      <c r="AM53" s="718"/>
      <c r="AN53" s="718" t="str">
        <f t="shared" si="1"/>
        <v>Добавить наименование тарифа</v>
      </c>
      <c r="AO53" s="718"/>
      <c r="AP53" s="718"/>
      <c r="AQ53" s="454">
        <v>0</v>
      </c>
    </row>
    <row r="54" spans="1:43" ht="11.45" customHeight="1">
      <c r="M54" s="1083"/>
      <c r="N54" s="1083"/>
      <c r="O54" s="473"/>
      <c r="P54" s="1078"/>
      <c r="Q54" s="1078"/>
      <c r="R54" s="1078"/>
      <c r="S54" s="1078"/>
      <c r="AL54" s="1078"/>
      <c r="AM54" s="1078"/>
      <c r="AN54" s="1078"/>
      <c r="AO54" s="1078"/>
      <c r="AP54" s="1078"/>
      <c r="AQ54" s="1078">
        <v>11</v>
      </c>
    </row>
    <row r="55" spans="1:43" ht="14.65" customHeight="1">
      <c r="O55" s="473"/>
      <c r="S55" s="1176"/>
      <c r="T55" s="2526"/>
      <c r="U55" s="2526"/>
      <c r="V55" s="2526"/>
      <c r="W55" s="2526"/>
      <c r="X55" s="2526"/>
      <c r="Y55" s="2526"/>
      <c r="Z55" s="2526"/>
      <c r="AA55" s="2526"/>
      <c r="AB55" s="2526"/>
      <c r="AC55" s="2526"/>
      <c r="AD55" s="2526"/>
      <c r="AE55" s="2526"/>
      <c r="AF55" s="2526"/>
      <c r="AG55" s="2526"/>
      <c r="AH55" s="2526"/>
      <c r="AI55" s="2526"/>
      <c r="AJ55" s="2526"/>
      <c r="AK55" s="2526"/>
      <c r="AQ55" s="1078">
        <v>14</v>
      </c>
    </row>
    <row r="56" spans="1:43" ht="14.65" customHeight="1">
      <c r="O56" s="473"/>
      <c r="AQ56" s="1078">
        <v>14</v>
      </c>
    </row>
    <row r="57" spans="1:43" ht="14.65" customHeight="1">
      <c r="O57" s="473"/>
      <c r="S57" s="1176"/>
      <c r="T57" s="2526"/>
      <c r="U57" s="2526"/>
      <c r="V57" s="2526"/>
      <c r="W57" s="2526"/>
      <c r="X57" s="2526"/>
      <c r="Y57" s="2526"/>
      <c r="Z57" s="2526"/>
      <c r="AA57" s="2526"/>
      <c r="AB57" s="2526"/>
      <c r="AC57" s="2526"/>
      <c r="AD57" s="2526"/>
      <c r="AE57" s="2526"/>
      <c r="AF57" s="2526"/>
      <c r="AG57" s="2526"/>
      <c r="AH57" s="2526"/>
      <c r="AI57" s="2526"/>
      <c r="AJ57" s="2526"/>
      <c r="AK57" s="2526"/>
      <c r="AQ57" s="1078">
        <v>14</v>
      </c>
    </row>
    <row r="58" spans="1:43" ht="22.5" hidden="1" customHeight="1">
      <c r="A58" s="1083" t="s">
        <v>83</v>
      </c>
      <c r="B58" s="1083">
        <v>0</v>
      </c>
      <c r="C58" s="1083">
        <v>0</v>
      </c>
      <c r="D58" s="1083">
        <v>0</v>
      </c>
      <c r="E58" s="1083">
        <v>0</v>
      </c>
      <c r="F58" s="1083">
        <v>0</v>
      </c>
      <c r="G58" s="1083">
        <v>0</v>
      </c>
      <c r="H58" s="1083">
        <v>0</v>
      </c>
      <c r="I58" s="1083">
        <v>0</v>
      </c>
      <c r="J58" s="1083">
        <v>0</v>
      </c>
      <c r="K58" s="1083">
        <v>0</v>
      </c>
      <c r="L58" s="1370">
        <v>0</v>
      </c>
      <c r="M58" s="1285">
        <v>0</v>
      </c>
      <c r="N58" s="1285">
        <v>0</v>
      </c>
      <c r="O58" s="1285">
        <v>0</v>
      </c>
      <c r="P58" s="1369">
        <v>3</v>
      </c>
      <c r="Q58" s="281">
        <v>3</v>
      </c>
      <c r="R58" s="281">
        <v>3</v>
      </c>
      <c r="S58" s="517">
        <v>12</v>
      </c>
      <c r="T58" s="1078">
        <v>35</v>
      </c>
      <c r="U58" s="1078">
        <v>0</v>
      </c>
      <c r="V58" s="1078">
        <v>0</v>
      </c>
      <c r="W58" s="1078">
        <v>0</v>
      </c>
      <c r="X58" s="1078">
        <v>0</v>
      </c>
      <c r="Y58" s="1078">
        <v>0</v>
      </c>
      <c r="Z58" s="1078">
        <v>0</v>
      </c>
      <c r="AA58" s="1078">
        <v>0</v>
      </c>
      <c r="AB58" s="1078">
        <v>0</v>
      </c>
      <c r="AC58" s="1078">
        <v>24</v>
      </c>
      <c r="AD58" s="1078">
        <v>24</v>
      </c>
      <c r="AE58" s="1078">
        <v>24</v>
      </c>
      <c r="AF58" s="1078">
        <v>11</v>
      </c>
      <c r="AG58" s="1078">
        <v>3</v>
      </c>
      <c r="AH58" s="1078">
        <v>11</v>
      </c>
      <c r="AI58" s="1078">
        <v>0</v>
      </c>
      <c r="AJ58" s="1078">
        <v>4</v>
      </c>
      <c r="AK58" s="1078">
        <v>115</v>
      </c>
      <c r="AL58" s="447">
        <v>10</v>
      </c>
      <c r="AM58" s="447">
        <v>10</v>
      </c>
      <c r="AN58" s="447">
        <v>10</v>
      </c>
      <c r="AO58" s="447">
        <v>10</v>
      </c>
      <c r="AP58" s="447">
        <v>10</v>
      </c>
      <c r="AQ58" s="1078">
        <v>23</v>
      </c>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4.140625" style="1289" hidden="1" customWidth="1"/>
    <col min="10" max="10" width="9.85546875" style="1289" hidden="1" customWidth="1"/>
    <col min="11" max="11" width="14.7109375" style="1289" hidden="1" customWidth="1"/>
    <col min="12" max="12" width="19.140625" style="2043" hidden="1" customWidth="1"/>
    <col min="13" max="14" width="12.28515625" style="1696" hidden="1" customWidth="1"/>
    <col min="15" max="15" width="23.42578125" style="1696" hidden="1" customWidth="1"/>
    <col min="16" max="16" width="3" style="2032" customWidth="1"/>
    <col min="17" max="18" width="3" style="281" customWidth="1"/>
    <col min="19" max="19" width="12" style="2033" customWidth="1"/>
    <col min="20" max="20" width="35" style="1558" customWidth="1"/>
    <col min="21" max="21" width="0.140625" style="1558" customWidth="1"/>
    <col min="22" max="24" width="24.7109375" style="1558" hidden="1" customWidth="1"/>
    <col min="25" max="25" width="11.7109375" style="1558" hidden="1" customWidth="1"/>
    <col min="26" max="26" width="3.7109375" style="1558" hidden="1" customWidth="1"/>
    <col min="27" max="27" width="11.7109375" style="1558" hidden="1" customWidth="1"/>
    <col min="28" max="28" width="8.5703125" style="1558" hidden="1" customWidth="1"/>
    <col min="29" max="29" width="24.7109375" style="1558" customWidth="1"/>
    <col min="30" max="31" width="24" style="1558" customWidth="1"/>
    <col min="32" max="32" width="11" style="1558" customWidth="1"/>
    <col min="33" max="33" width="3.7109375" style="1558" customWidth="1"/>
    <col min="34" max="34" width="11" style="1558" customWidth="1"/>
    <col min="35" max="35" width="8.5703125" style="1558" hidden="1" customWidth="1"/>
    <col min="36" max="36" width="4" style="1558" customWidth="1"/>
    <col min="37" max="37" width="115" style="1558" customWidth="1"/>
    <col min="38" max="42" width="10" style="1565" customWidth="1"/>
    <col min="43" max="43" width="10.5703125" style="1558" hidden="1"/>
  </cols>
  <sheetData>
    <row r="1" spans="1:43" ht="22.5" hidden="1" customHeight="1">
      <c r="X1" s="264"/>
      <c r="Y1" s="264"/>
      <c r="AE1" s="264"/>
      <c r="AF1" s="264"/>
      <c r="AQ1" s="1078" t="s">
        <v>14</v>
      </c>
    </row>
    <row r="2" spans="1:43" ht="23.25" hidden="1" customHeight="1">
      <c r="A2" s="1286"/>
      <c r="B2" s="1286"/>
      <c r="C2" s="1286"/>
      <c r="D2" s="1286"/>
      <c r="E2" s="2506">
        <v>1</v>
      </c>
      <c r="F2" s="1286"/>
      <c r="G2" s="1286"/>
      <c r="H2" s="1286"/>
      <c r="I2" s="1286"/>
      <c r="J2" s="1286"/>
      <c r="K2" s="1286"/>
      <c r="L2" s="1287"/>
      <c r="M2" s="1288"/>
      <c r="N2" s="1288"/>
      <c r="O2" s="1288"/>
      <c r="P2" s="297"/>
      <c r="Q2" s="296"/>
      <c r="R2" s="291"/>
      <c r="S2" s="1380" t="e">
        <f>INDEX(PT_DIFFERENTIATION_NUM_NTAR,MATCH(A2,PT_DIFFERENTIATION_NTAR_ID,0))</f>
        <v>#N/A</v>
      </c>
      <c r="T2" s="235" t="s">
        <v>144</v>
      </c>
      <c r="U2" s="237"/>
      <c r="V2" s="2492"/>
      <c r="W2" s="2493"/>
      <c r="X2" s="2493"/>
      <c r="Y2" s="2493"/>
      <c r="Z2" s="2493"/>
      <c r="AA2" s="2493"/>
      <c r="AB2" s="2494"/>
      <c r="AC2" s="2492" t="e">
        <f>INDEX(PT_DIFFERENTIATION_NTAR,MATCH(A2,PT_DIFFERENTIATION_NTAR_ID,0))</f>
        <v>#N/A</v>
      </c>
      <c r="AD2" s="2493"/>
      <c r="AE2" s="2493"/>
      <c r="AF2" s="2493"/>
      <c r="AG2" s="2493"/>
      <c r="AH2" s="2493"/>
      <c r="AI2" s="2493"/>
      <c r="AJ2" s="2494"/>
      <c r="AK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8">
        <v>0</v>
      </c>
    </row>
    <row r="3" spans="1:43" ht="23.25" hidden="1" customHeight="1">
      <c r="A3" s="1286"/>
      <c r="B3" s="1286"/>
      <c r="C3" s="1286"/>
      <c r="D3" s="1286"/>
      <c r="E3" s="2507"/>
      <c r="F3" s="2506">
        <v>1</v>
      </c>
      <c r="G3" s="1286"/>
      <c r="H3" s="1286"/>
      <c r="I3" s="1286"/>
      <c r="J3" s="1286"/>
      <c r="K3" s="1286"/>
      <c r="L3" s="1287"/>
      <c r="M3" s="1288"/>
      <c r="N3" s="1288"/>
      <c r="O3" s="1288"/>
      <c r="P3" s="1376"/>
      <c r="Q3" s="288"/>
      <c r="R3" s="289"/>
      <c r="S3" s="1380" t="e">
        <f>INDEX(PT_DIFFERENTIATION_NUM_TER,MATCH(B3,PT_DIFFERENTIATION_TER_ID,0))</f>
        <v>#N/A</v>
      </c>
      <c r="T3" s="245" t="s">
        <v>416</v>
      </c>
      <c r="U3" s="237"/>
      <c r="V3" s="2492"/>
      <c r="W3" s="2493"/>
      <c r="X3" s="2493"/>
      <c r="Y3" s="2493"/>
      <c r="Z3" s="2493"/>
      <c r="AA3" s="2493"/>
      <c r="AB3" s="2494"/>
      <c r="AC3" s="2492" t="e">
        <f>INDEX(PT_DIFFERENTIATION_TER,MATCH(B3,PT_DIFFERENTIATION_TER_ID,0))</f>
        <v>#N/A</v>
      </c>
      <c r="AD3" s="2493"/>
      <c r="AE3" s="2493"/>
      <c r="AF3" s="2493"/>
      <c r="AG3" s="2493"/>
      <c r="AH3" s="2493"/>
      <c r="AI3" s="2493"/>
      <c r="AJ3" s="2494"/>
      <c r="AK3" s="1181" t="s">
        <v>417</v>
      </c>
      <c r="AM3" s="436"/>
      <c r="AN3" s="436" t="str">
        <f t="shared" si="0"/>
        <v>Территория действия тарифа</v>
      </c>
      <c r="AO3" s="436"/>
      <c r="AP3" s="436"/>
      <c r="AQ3" s="1078">
        <v>0</v>
      </c>
    </row>
    <row r="4" spans="1:43" ht="23.25" hidden="1" customHeight="1">
      <c r="A4" s="1286"/>
      <c r="B4" s="1286"/>
      <c r="C4" s="1286"/>
      <c r="D4" s="1286"/>
      <c r="E4" s="2507"/>
      <c r="F4" s="2507"/>
      <c r="G4" s="2506">
        <v>1</v>
      </c>
      <c r="H4" s="1286"/>
      <c r="I4" s="1286"/>
      <c r="J4" s="1286"/>
      <c r="K4" s="1286"/>
      <c r="L4" s="1287"/>
      <c r="M4" s="1288"/>
      <c r="N4" s="1288"/>
      <c r="O4" s="1288"/>
      <c r="P4" s="290"/>
      <c r="Q4" s="288"/>
      <c r="R4" s="289"/>
      <c r="S4" s="1380" t="e">
        <f>INDEX(PT_DIFFERENTIATION_NUM_CS,MATCH(C4,PT_DIFFERENTIATION_CS_ID,0))</f>
        <v>#N/A</v>
      </c>
      <c r="T4" s="246" t="s">
        <v>498</v>
      </c>
      <c r="U4" s="237"/>
      <c r="V4" s="2492"/>
      <c r="W4" s="2493"/>
      <c r="X4" s="2493"/>
      <c r="Y4" s="2493"/>
      <c r="Z4" s="2493"/>
      <c r="AA4" s="2493"/>
      <c r="AB4" s="2494"/>
      <c r="AC4" s="2492" t="e">
        <f>INDEX(PT_DIFFERENTIATION_CS,MATCH(C4,PT_DIFFERENTIATION_CS_ID,0))</f>
        <v>#N/A</v>
      </c>
      <c r="AD4" s="2493"/>
      <c r="AE4" s="2493"/>
      <c r="AF4" s="2493"/>
      <c r="AG4" s="2493"/>
      <c r="AH4" s="2493"/>
      <c r="AI4" s="2493"/>
      <c r="AJ4" s="2494"/>
      <c r="AK4" s="1181" t="s">
        <v>499</v>
      </c>
      <c r="AM4" s="436"/>
      <c r="AN4" s="436" t="str">
        <f t="shared" si="0"/>
        <v>Наименование централизованной системы холодного водоснабжения</v>
      </c>
      <c r="AO4" s="436"/>
      <c r="AP4" s="436"/>
      <c r="AQ4" s="1078">
        <v>0</v>
      </c>
    </row>
    <row r="5" spans="1:43" ht="23.25" hidden="1" customHeight="1">
      <c r="A5" s="1286"/>
      <c r="B5" s="1286"/>
      <c r="C5" s="1286"/>
      <c r="D5" s="1286"/>
      <c r="E5" s="2507"/>
      <c r="F5" s="2507"/>
      <c r="G5" s="2507"/>
      <c r="H5" s="2507"/>
      <c r="I5" s="2504" t="e">
        <f>S4&amp;".1"</f>
        <v>#N/A</v>
      </c>
      <c r="J5" s="1286"/>
      <c r="K5" s="1286"/>
      <c r="L5" s="1287"/>
      <c r="P5" s="2505">
        <v>1</v>
      </c>
      <c r="Q5" s="1373"/>
      <c r="R5" s="292"/>
      <c r="S5" s="1380" t="e">
        <f>$I5</f>
        <v>#N/A</v>
      </c>
      <c r="T5" s="222" t="s">
        <v>500</v>
      </c>
      <c r="U5" s="237"/>
      <c r="V5" s="2576"/>
      <c r="W5" s="2577"/>
      <c r="X5" s="2577"/>
      <c r="Y5" s="2577"/>
      <c r="Z5" s="2577"/>
      <c r="AA5" s="2577"/>
      <c r="AB5" s="2578"/>
      <c r="AC5" s="2579"/>
      <c r="AD5" s="2580"/>
      <c r="AE5" s="2580"/>
      <c r="AF5" s="2580"/>
      <c r="AG5" s="2580"/>
      <c r="AH5" s="2580"/>
      <c r="AI5" s="2580"/>
      <c r="AJ5" s="2581"/>
      <c r="AK5" s="1181" t="s">
        <v>501</v>
      </c>
      <c r="AM5" s="436"/>
      <c r="AN5" s="436" t="str">
        <f t="shared" si="0"/>
        <v>Наименование признака дифференциации</v>
      </c>
      <c r="AO5" s="436"/>
      <c r="AP5" s="436"/>
      <c r="AQ5" s="1078">
        <v>0</v>
      </c>
    </row>
    <row r="6" spans="1:43" ht="23.25" hidden="1" customHeight="1">
      <c r="A6" s="1286"/>
      <c r="B6" s="1286"/>
      <c r="C6" s="1286"/>
      <c r="D6" s="1286"/>
      <c r="E6" s="2507"/>
      <c r="F6" s="2507"/>
      <c r="G6" s="2507"/>
      <c r="H6" s="2507"/>
      <c r="I6" s="2527"/>
      <c r="J6" s="2504" t="e">
        <f>I5&amp;".1"</f>
        <v>#N/A</v>
      </c>
      <c r="K6" s="1286"/>
      <c r="L6" s="1287" t="s">
        <v>425</v>
      </c>
      <c r="P6" s="2505"/>
      <c r="Q6" s="2505">
        <v>1</v>
      </c>
      <c r="R6" s="293"/>
      <c r="S6" s="1380" t="e">
        <f>$J6</f>
        <v>#N/A</v>
      </c>
      <c r="T6" s="223" t="s">
        <v>426</v>
      </c>
      <c r="U6" s="237"/>
      <c r="V6" s="2495"/>
      <c r="W6" s="2496"/>
      <c r="X6" s="2496"/>
      <c r="Y6" s="2496"/>
      <c r="Z6" s="2496"/>
      <c r="AA6" s="2496"/>
      <c r="AB6" s="2497"/>
      <c r="AC6" s="2495"/>
      <c r="AD6" s="2496"/>
      <c r="AE6" s="2496"/>
      <c r="AF6" s="2496"/>
      <c r="AG6" s="2496"/>
      <c r="AH6" s="2496"/>
      <c r="AI6" s="2496"/>
      <c r="AJ6" s="2497"/>
      <c r="AK6" s="1230" t="s">
        <v>502</v>
      </c>
      <c r="AM6" s="436"/>
      <c r="AN6" s="436" t="str">
        <f t="shared" si="0"/>
        <v>Группа потребителей</v>
      </c>
      <c r="AO6" s="436"/>
      <c r="AP6" s="436"/>
      <c r="AQ6" s="1078">
        <v>0</v>
      </c>
    </row>
    <row r="7" spans="1:43" ht="23.25" hidden="1" customHeight="1">
      <c r="A7" s="1286"/>
      <c r="B7" s="1286"/>
      <c r="C7" s="1286"/>
      <c r="D7" s="1286"/>
      <c r="E7" s="2507"/>
      <c r="F7" s="2507"/>
      <c r="G7" s="2507"/>
      <c r="H7" s="2507"/>
      <c r="I7" s="2527"/>
      <c r="J7" s="2527"/>
      <c r="K7" s="2504" t="e">
        <f>J6&amp;".1"</f>
        <v>#N/A</v>
      </c>
      <c r="L7" s="1287"/>
      <c r="P7" s="2505"/>
      <c r="Q7" s="2505"/>
      <c r="R7" s="293">
        <v>1</v>
      </c>
      <c r="S7" s="1380" t="e">
        <f>$K7</f>
        <v>#N/A</v>
      </c>
      <c r="T7" s="1360"/>
      <c r="U7" s="237"/>
      <c r="V7" s="686"/>
      <c r="W7" s="686"/>
      <c r="X7" s="1180"/>
      <c r="Y7" s="2509"/>
      <c r="Z7" s="2360" t="s">
        <v>63</v>
      </c>
      <c r="AA7" s="2509"/>
      <c r="AB7" s="2360" t="s">
        <v>63</v>
      </c>
      <c r="AC7" s="686"/>
      <c r="AD7" s="686"/>
      <c r="AE7" s="1180"/>
      <c r="AF7" s="2509"/>
      <c r="AG7" s="2360" t="s">
        <v>63</v>
      </c>
      <c r="AH7" s="2528"/>
      <c r="AI7" s="2360" t="s">
        <v>63</v>
      </c>
      <c r="AJ7" s="1361"/>
      <c r="AK7" s="257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8">
        <v>0</v>
      </c>
    </row>
    <row r="8" spans="1:43" ht="14.25" hidden="1" customHeight="1">
      <c r="A8" s="1286"/>
      <c r="B8" s="1286"/>
      <c r="C8" s="1286"/>
      <c r="D8" s="1286"/>
      <c r="E8" s="2507"/>
      <c r="F8" s="2507"/>
      <c r="G8" s="2507"/>
      <c r="H8" s="2507"/>
      <c r="I8" s="2527"/>
      <c r="J8" s="2527"/>
      <c r="K8" s="2504"/>
      <c r="L8" s="1287"/>
      <c r="P8" s="2505"/>
      <c r="Q8" s="2505"/>
      <c r="R8" s="293"/>
      <c r="S8" s="1379"/>
      <c r="T8" s="237"/>
      <c r="U8" s="237"/>
      <c r="V8" s="262"/>
      <c r="W8" s="262"/>
      <c r="X8" s="265" t="str">
        <f>Y7&amp;"-"&amp;AA7</f>
        <v>-</v>
      </c>
      <c r="Y8" s="2510"/>
      <c r="Z8" s="2360"/>
      <c r="AA8" s="2510"/>
      <c r="AB8" s="2360"/>
      <c r="AC8" s="262"/>
      <c r="AD8" s="262"/>
      <c r="AE8" s="265" t="str">
        <f>AF7&amp;"-"&amp;AH7</f>
        <v>-</v>
      </c>
      <c r="AF8" s="2510"/>
      <c r="AG8" s="2360"/>
      <c r="AH8" s="2529"/>
      <c r="AI8" s="2360"/>
      <c r="AJ8" s="1362"/>
      <c r="AK8" s="2575"/>
      <c r="AM8" s="436"/>
      <c r="AN8" s="436" t="str">
        <f t="shared" si="0"/>
        <v/>
      </c>
      <c r="AO8" s="436"/>
      <c r="AP8" s="436"/>
      <c r="AQ8" s="1078">
        <v>0</v>
      </c>
    </row>
    <row r="9" spans="1:43" ht="21" hidden="1" customHeight="1">
      <c r="A9" s="1286"/>
      <c r="B9" s="1286"/>
      <c r="C9" s="1286"/>
      <c r="D9" s="1286"/>
      <c r="E9" s="2507"/>
      <c r="F9" s="2507"/>
      <c r="G9" s="2507"/>
      <c r="H9" s="2507"/>
      <c r="I9" s="2527"/>
      <c r="J9" s="2504"/>
      <c r="K9" s="1286"/>
      <c r="L9" s="1287"/>
      <c r="P9" s="2505"/>
      <c r="Q9" s="2505"/>
      <c r="R9" s="292"/>
      <c r="S9" s="1201"/>
      <c r="T9" s="224" t="s">
        <v>503</v>
      </c>
      <c r="U9" s="303"/>
      <c r="V9" s="303"/>
      <c r="W9" s="303"/>
      <c r="X9" s="303"/>
      <c r="Y9" s="303"/>
      <c r="Z9" s="303"/>
      <c r="AA9" s="303"/>
      <c r="AB9" s="303"/>
      <c r="AC9" s="303"/>
      <c r="AD9" s="303"/>
      <c r="AE9" s="303"/>
      <c r="AF9" s="303"/>
      <c r="AG9" s="303"/>
      <c r="AH9" s="303"/>
      <c r="AI9" s="303"/>
      <c r="AJ9" s="303"/>
      <c r="AK9" s="1181" t="s">
        <v>504</v>
      </c>
      <c r="AM9" s="436"/>
      <c r="AN9" s="436" t="str">
        <f t="shared" si="0"/>
        <v>Добавить значение признака дифференциации</v>
      </c>
      <c r="AO9" s="436"/>
      <c r="AP9" s="436"/>
      <c r="AQ9" s="1078">
        <v>0</v>
      </c>
    </row>
    <row r="10" spans="1:43" ht="21" hidden="1" customHeight="1">
      <c r="A10" s="1286"/>
      <c r="B10" s="1286"/>
      <c r="C10" s="1286"/>
      <c r="D10" s="1286"/>
      <c r="E10" s="2507"/>
      <c r="F10" s="2507"/>
      <c r="G10" s="2507"/>
      <c r="H10" s="2507"/>
      <c r="I10" s="2504"/>
      <c r="J10" s="1286"/>
      <c r="K10" s="1286"/>
      <c r="L10" s="1287"/>
      <c r="P10" s="2505"/>
      <c r="Q10" s="1373"/>
      <c r="R10" s="292"/>
      <c r="S10" s="1201"/>
      <c r="T10" s="301" t="s">
        <v>431</v>
      </c>
      <c r="U10" s="303"/>
      <c r="V10" s="303"/>
      <c r="W10" s="303"/>
      <c r="X10" s="303"/>
      <c r="Y10" s="303"/>
      <c r="Z10" s="303"/>
      <c r="AA10" s="303"/>
      <c r="AB10" s="302"/>
      <c r="AC10" s="303"/>
      <c r="AD10" s="303"/>
      <c r="AE10" s="303"/>
      <c r="AF10" s="303"/>
      <c r="AG10" s="303"/>
      <c r="AH10" s="303"/>
      <c r="AI10" s="302"/>
      <c r="AJ10" s="303"/>
      <c r="AK10" s="1363"/>
      <c r="AM10" s="436"/>
      <c r="AN10" s="436" t="str">
        <f t="shared" si="0"/>
        <v>Добавить группу потребителей</v>
      </c>
      <c r="AO10" s="436"/>
      <c r="AP10" s="436"/>
      <c r="AQ10" s="1078">
        <v>0</v>
      </c>
    </row>
    <row r="11" spans="1:43" ht="21" hidden="1" customHeight="1">
      <c r="A11" s="1286"/>
      <c r="B11" s="1286"/>
      <c r="C11" s="1286"/>
      <c r="D11" s="1286"/>
      <c r="E11" s="2507"/>
      <c r="F11" s="2507"/>
      <c r="G11" s="2507"/>
      <c r="H11" s="2506"/>
      <c r="I11" s="1286"/>
      <c r="J11" s="1286"/>
      <c r="K11" s="1286"/>
      <c r="L11" s="1287"/>
      <c r="M11" s="1288"/>
      <c r="N11" s="1288"/>
      <c r="O11" s="473"/>
      <c r="P11" s="296"/>
      <c r="Q11" s="311"/>
      <c r="R11" s="291"/>
      <c r="S11" s="1201"/>
      <c r="T11" s="308" t="s">
        <v>505</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8">
        <v>0</v>
      </c>
    </row>
    <row r="12" spans="1:43" s="1565" customFormat="1" ht="14.25" hidden="1" customHeight="1">
      <c r="A12" s="1266"/>
      <c r="B12" s="1266"/>
      <c r="C12" s="1237"/>
      <c r="D12" s="1237"/>
      <c r="E12" s="2507"/>
      <c r="F12" s="2506"/>
      <c r="G12" s="1237"/>
      <c r="H12" s="1237"/>
      <c r="I12" s="1237"/>
      <c r="J12" s="1237"/>
      <c r="K12" s="1237"/>
      <c r="L12" s="1381"/>
      <c r="M12" s="1244"/>
      <c r="N12" s="1244"/>
      <c r="P12" s="1239"/>
      <c r="Q12" s="1240"/>
      <c r="R12" s="1239"/>
      <c r="S12" s="1245"/>
      <c r="T12" s="1248" t="s">
        <v>434</v>
      </c>
      <c r="U12" s="1247"/>
      <c r="V12" s="1247"/>
      <c r="W12" s="1247"/>
      <c r="X12" s="1247"/>
      <c r="Y12" s="1247"/>
      <c r="Z12" s="1247"/>
      <c r="AA12" s="1247"/>
      <c r="AB12" s="1247"/>
      <c r="AC12" s="1247"/>
      <c r="AD12" s="1247"/>
      <c r="AE12" s="1247"/>
      <c r="AF12" s="1247"/>
      <c r="AG12" s="1247"/>
      <c r="AH12" s="1247"/>
      <c r="AI12" s="1247"/>
      <c r="AJ12" s="1247"/>
      <c r="AK12" s="1247"/>
      <c r="AM12" s="718"/>
      <c r="AN12" s="718" t="str">
        <f t="shared" si="0"/>
        <v>Добавить централизованную систему для дифференциации</v>
      </c>
      <c r="AO12" s="718"/>
      <c r="AP12" s="718"/>
      <c r="AQ12" s="454">
        <v>0</v>
      </c>
    </row>
    <row r="13" spans="1:43" s="1565" customFormat="1" ht="14.25" hidden="1" customHeight="1">
      <c r="A13" s="1266"/>
      <c r="B13" s="1266"/>
      <c r="C13" s="1266"/>
      <c r="D13" s="1266"/>
      <c r="E13" s="2506"/>
      <c r="F13" s="1266"/>
      <c r="G13" s="1266"/>
      <c r="H13" s="1266"/>
      <c r="I13" s="1266"/>
      <c r="J13" s="1266"/>
      <c r="K13" s="1266"/>
      <c r="L13" s="1269"/>
      <c r="M13" s="1244"/>
      <c r="N13" s="1244"/>
      <c r="O13" s="454"/>
      <c r="P13" s="316"/>
      <c r="Q13" s="1267"/>
      <c r="R13" s="316"/>
      <c r="S13" s="1245"/>
      <c r="T13" s="1248" t="s">
        <v>435</v>
      </c>
      <c r="U13" s="1247"/>
      <c r="V13" s="1247"/>
      <c r="W13" s="1247"/>
      <c r="X13" s="1247"/>
      <c r="Y13" s="1247"/>
      <c r="Z13" s="1247"/>
      <c r="AA13" s="1247"/>
      <c r="AB13" s="1247"/>
      <c r="AC13" s="1247"/>
      <c r="AD13" s="1247"/>
      <c r="AE13" s="1247"/>
      <c r="AF13" s="1247"/>
      <c r="AG13" s="1247"/>
      <c r="AH13" s="1247"/>
      <c r="AI13" s="1247"/>
      <c r="AJ13" s="1247"/>
      <c r="AK13" s="1247"/>
      <c r="AM13" s="436"/>
      <c r="AN13" s="436" t="str">
        <f t="shared" si="0"/>
        <v>Добавить территорию для дифференциации</v>
      </c>
      <c r="AO13" s="436"/>
      <c r="AP13" s="436"/>
      <c r="AQ13" s="447">
        <v>0</v>
      </c>
    </row>
    <row r="14" spans="1:43" ht="14.25" hidden="1" customHeight="1">
      <c r="AB14" s="264"/>
      <c r="AI14" s="264"/>
      <c r="AQ14" s="1078">
        <v>0</v>
      </c>
    </row>
    <row r="15" spans="1:43" ht="14.25" hidden="1" customHeight="1">
      <c r="AC15" s="1283"/>
      <c r="AD15" s="1283"/>
      <c r="AE15" s="1284"/>
      <c r="AF15" s="2511"/>
      <c r="AG15" s="2512" t="s">
        <v>63</v>
      </c>
      <c r="AH15" s="2511"/>
      <c r="AI15" s="2512" t="s">
        <v>63</v>
      </c>
      <c r="AQ15" s="1078">
        <v>0</v>
      </c>
    </row>
    <row r="16" spans="1:43" ht="14.25" hidden="1" customHeight="1">
      <c r="AC16" s="1283"/>
      <c r="AD16" s="1283"/>
      <c r="AE16" s="265" t="str">
        <f>AF15&amp;"-"&amp;AH15</f>
        <v>-</v>
      </c>
      <c r="AF16" s="2512"/>
      <c r="AG16" s="2512"/>
      <c r="AH16" s="2512"/>
      <c r="AI16" s="2512"/>
      <c r="AQ16" s="1078">
        <v>0</v>
      </c>
    </row>
    <row r="17" spans="1:43" ht="14.25" hidden="1" customHeight="1">
      <c r="AI17" s="264"/>
      <c r="AQ17" s="1078">
        <v>0</v>
      </c>
    </row>
    <row r="18" spans="1:43" s="1289" customFormat="1" ht="22.5" hidden="1" customHeight="1">
      <c r="L18" s="1370"/>
      <c r="M18" s="1285"/>
      <c r="N18" s="1285"/>
      <c r="O18" s="1290" t="s">
        <v>436</v>
      </c>
      <c r="P18" s="1285"/>
      <c r="Q18" s="1294"/>
      <c r="R18" s="1294"/>
      <c r="S18" s="665"/>
      <c r="Y18" s="1290"/>
      <c r="AA18" s="1290"/>
      <c r="AF18" s="1290"/>
      <c r="AH18" s="1290"/>
      <c r="AL18" s="447"/>
      <c r="AM18" s="447"/>
      <c r="AN18" s="447"/>
      <c r="AO18" s="447"/>
      <c r="AP18" s="447"/>
      <c r="AQ18" s="1083">
        <v>0</v>
      </c>
    </row>
    <row r="19" spans="1:43" s="1289" customFormat="1" ht="14.25" hidden="1" customHeight="1">
      <c r="L19" s="1370"/>
      <c r="M19" s="1285"/>
      <c r="N19" s="1285"/>
      <c r="O19" s="1285"/>
      <c r="P19" s="1285"/>
      <c r="Q19" s="1294"/>
      <c r="R19" s="1294"/>
      <c r="S19" s="665"/>
      <c r="AL19" s="447"/>
      <c r="AM19" s="447"/>
      <c r="AN19" s="447"/>
      <c r="AO19" s="447"/>
      <c r="AP19" s="447"/>
      <c r="AQ19" s="1083">
        <v>0</v>
      </c>
    </row>
    <row r="20" spans="1:43" s="1289" customFormat="1" ht="12" hidden="1" customHeight="1">
      <c r="L20" s="1370"/>
      <c r="M20" s="1285"/>
      <c r="N20" s="1285"/>
      <c r="O20" s="1287" t="s">
        <v>437</v>
      </c>
      <c r="P20" s="1285"/>
      <c r="Q20" s="1365"/>
      <c r="R20" s="1365"/>
      <c r="S20" s="665"/>
      <c r="T20" s="1083" t="s">
        <v>438</v>
      </c>
      <c r="Z20" s="123" t="s">
        <v>439</v>
      </c>
      <c r="AB20" s="123" t="s">
        <v>440</v>
      </c>
      <c r="AC20" s="1083" t="s">
        <v>438</v>
      </c>
      <c r="AG20" s="123" t="s">
        <v>441</v>
      </c>
      <c r="AI20" s="123" t="s">
        <v>440</v>
      </c>
      <c r="AQ20" s="1083">
        <v>0</v>
      </c>
    </row>
    <row r="21" spans="1:43" ht="14.25" hidden="1" customHeight="1">
      <c r="O21" s="1287"/>
      <c r="AQ21" s="1078">
        <v>0</v>
      </c>
    </row>
    <row r="22" spans="1:43" ht="14.25" hidden="1" customHeight="1">
      <c r="O22" s="1287"/>
      <c r="AQ22" s="1078">
        <v>0</v>
      </c>
    </row>
    <row r="23" spans="1:43" ht="14.65" customHeight="1">
      <c r="Q23" s="312"/>
      <c r="R23" s="312"/>
      <c r="S23" s="1198"/>
      <c r="T23" s="299"/>
      <c r="U23" s="299"/>
      <c r="V23" s="445"/>
      <c r="W23" s="445"/>
      <c r="X23" s="445"/>
      <c r="Y23" s="445"/>
      <c r="Z23" s="445"/>
      <c r="AA23" s="445"/>
      <c r="AB23" s="445"/>
      <c r="AC23" s="445"/>
      <c r="AD23" s="445"/>
      <c r="AE23" s="445"/>
      <c r="AF23" s="445"/>
      <c r="AG23" s="445"/>
      <c r="AH23" s="445"/>
      <c r="AI23" s="445"/>
      <c r="AQ23" s="1078">
        <v>14</v>
      </c>
    </row>
    <row r="24" spans="1:43" ht="14.65" customHeight="1">
      <c r="Q24" s="312"/>
      <c r="R24" s="312"/>
      <c r="S24" s="249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90"/>
      <c r="U24" s="2490"/>
      <c r="V24" s="2490"/>
      <c r="W24" s="2490"/>
      <c r="X24" s="2490"/>
      <c r="Y24" s="2490"/>
      <c r="Z24" s="2490"/>
      <c r="AA24" s="2490"/>
      <c r="AB24" s="2490"/>
      <c r="AC24" s="2490"/>
      <c r="AD24" s="2490"/>
      <c r="AE24" s="2490"/>
      <c r="AF24" s="2490"/>
      <c r="AG24" s="2490"/>
      <c r="AH24" s="2490"/>
      <c r="AI24" s="1166"/>
      <c r="AQ24" s="1078">
        <v>14</v>
      </c>
    </row>
    <row r="25" spans="1:43" ht="14.65" customHeight="1">
      <c r="Q25" s="312"/>
      <c r="R25" s="312"/>
      <c r="S25" s="2436" t="str">
        <f>IF(org=0,"Не определено",org)</f>
        <v>ПАО "ТГК-2"</v>
      </c>
      <c r="T25" s="2436"/>
      <c r="U25" s="2436"/>
      <c r="V25" s="2436"/>
      <c r="W25" s="2436"/>
      <c r="X25" s="2436"/>
      <c r="Y25" s="2436"/>
      <c r="Z25" s="2436"/>
      <c r="AA25" s="2436"/>
      <c r="AB25" s="2436"/>
      <c r="AC25" s="2436"/>
      <c r="AD25" s="2436"/>
      <c r="AE25" s="2436"/>
      <c r="AF25" s="2436"/>
      <c r="AG25" s="2436"/>
      <c r="AH25" s="2436"/>
      <c r="AI25" s="1166"/>
      <c r="AQ25" s="1078">
        <v>14</v>
      </c>
    </row>
    <row r="26" spans="1:43" ht="14.25" hidden="1" customHeight="1">
      <c r="Q26" s="312"/>
      <c r="R26" s="312"/>
      <c r="S26" s="1198"/>
      <c r="T26" s="299"/>
      <c r="U26" s="299"/>
      <c r="V26" s="259"/>
      <c r="W26" s="259"/>
      <c r="X26" s="259"/>
      <c r="Y26" s="259"/>
      <c r="Z26" s="259"/>
      <c r="AA26" s="259"/>
      <c r="AB26" s="259"/>
      <c r="AC26" s="259"/>
      <c r="AD26" s="259"/>
      <c r="AE26" s="259"/>
      <c r="AF26" s="259"/>
      <c r="AG26" s="259"/>
      <c r="AH26" s="259"/>
      <c r="AI26" s="259"/>
      <c r="AJ26" s="445"/>
      <c r="AQ26" s="1078">
        <v>0</v>
      </c>
    </row>
    <row r="27" spans="1:43" s="1770" customFormat="1" ht="25.5" hidden="1" customHeight="1">
      <c r="A27" s="1291"/>
      <c r="B27" s="1291"/>
      <c r="C27" s="1291"/>
      <c r="D27" s="1291"/>
      <c r="E27" s="1291"/>
      <c r="F27" s="1291"/>
      <c r="G27" s="1291"/>
      <c r="H27" s="1291"/>
      <c r="I27" s="1291"/>
      <c r="J27" s="1291"/>
      <c r="K27" s="1291"/>
      <c r="L27" s="1292"/>
      <c r="M27" s="1291"/>
      <c r="N27" s="1291"/>
      <c r="O27" s="1291"/>
      <c r="S27" s="249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498"/>
      <c r="U27" s="1295"/>
      <c r="V27" s="2499" t="str">
        <f>IF(TITLE_NAME_OR_PR_CHANGE="",IF(TITLE_NAME_OR_PR="","",TITLE_NAME_OR_PR),TITLE_NAME_OR_PR_CHANGE)</f>
        <v/>
      </c>
      <c r="W27" s="2499"/>
      <c r="X27" s="2499"/>
      <c r="Y27" s="2499"/>
      <c r="Z27" s="2499"/>
      <c r="AA27" s="2499"/>
      <c r="AB27" s="263"/>
      <c r="AC27" s="2499" t="str">
        <f>IF(TITLE_NAME_OR_PR_CHANGE="",IF(TITLE_NAME_OR_PR="","",TITLE_NAME_OR_PR),TITLE_NAME_OR_PR_CHANGE)</f>
        <v/>
      </c>
      <c r="AD27" s="2499"/>
      <c r="AE27" s="2499"/>
      <c r="AF27" s="2499"/>
      <c r="AG27" s="2499"/>
      <c r="AH27" s="2499"/>
      <c r="AI27" s="263"/>
      <c r="AJ27" s="263"/>
      <c r="AK27" s="217"/>
      <c r="AL27" s="304"/>
      <c r="AM27" s="304"/>
      <c r="AN27" s="304"/>
      <c r="AO27" s="304"/>
      <c r="AP27" s="304"/>
      <c r="AQ27" s="354">
        <v>0</v>
      </c>
    </row>
    <row r="28" spans="1:43" s="1770" customFormat="1" ht="18.75" hidden="1" customHeight="1">
      <c r="A28" s="1291"/>
      <c r="B28" s="1291"/>
      <c r="C28" s="1291"/>
      <c r="D28" s="1291"/>
      <c r="E28" s="1291"/>
      <c r="F28" s="1291"/>
      <c r="G28" s="1291"/>
      <c r="H28" s="1291"/>
      <c r="I28" s="1291"/>
      <c r="J28" s="1291"/>
      <c r="K28" s="1291"/>
      <c r="L28" s="1292"/>
      <c r="M28" s="1291"/>
      <c r="N28" s="1291"/>
      <c r="O28" s="1291"/>
      <c r="S28" s="2498" t="str">
        <f>"Дата документа об "&amp;IF(TITLE_DATE_PR_CHANGE="","утверждении","изменении")&amp;" тарифов"</f>
        <v>Дата документа об утверждении тарифов</v>
      </c>
      <c r="T28" s="2498"/>
      <c r="U28" s="1295"/>
      <c r="V28" s="2508" t="str">
        <f>IF(TITLE_DATE_PR_CHANGE="",IF(TITLE_DATE_PR="","",TITLE_DATE_PR),TITLE_DATE_PR_CHANGE)</f>
        <v/>
      </c>
      <c r="W28" s="2508"/>
      <c r="X28" s="2508"/>
      <c r="Y28" s="2508"/>
      <c r="Z28" s="2508"/>
      <c r="AA28" s="2508"/>
      <c r="AB28" s="263"/>
      <c r="AC28" s="2508" t="str">
        <f>IF(TITLE_DATE_PR_CHANGE="",IF(TITLE_DATE_PR="","",TITLE_DATE_PR),TITLE_DATE_PR_CHANGE)</f>
        <v/>
      </c>
      <c r="AD28" s="2508"/>
      <c r="AE28" s="2508"/>
      <c r="AF28" s="2508"/>
      <c r="AG28" s="2508"/>
      <c r="AH28" s="2508"/>
      <c r="AI28" s="263"/>
      <c r="AJ28" s="263"/>
      <c r="AK28" s="217"/>
      <c r="AL28" s="304"/>
      <c r="AM28" s="304"/>
      <c r="AN28" s="304"/>
      <c r="AO28" s="304"/>
      <c r="AP28" s="304"/>
      <c r="AQ28" s="354">
        <v>0</v>
      </c>
    </row>
    <row r="29" spans="1:43" s="1770" customFormat="1" ht="18.75" hidden="1" customHeight="1">
      <c r="A29" s="1291"/>
      <c r="B29" s="1291"/>
      <c r="C29" s="1291"/>
      <c r="D29" s="1291"/>
      <c r="E29" s="1291"/>
      <c r="F29" s="1291"/>
      <c r="G29" s="1291"/>
      <c r="H29" s="1291"/>
      <c r="I29" s="1291"/>
      <c r="J29" s="1291"/>
      <c r="K29" s="1291"/>
      <c r="L29" s="1292"/>
      <c r="M29" s="1291"/>
      <c r="N29" s="1291"/>
      <c r="O29" s="1291"/>
      <c r="S29" s="2498" t="str">
        <f>"Номер документа об "&amp;IF(TITLE_DATE_PR_CHANGE="","утверждении","изменении")&amp;" тарифов"</f>
        <v>Номер документа об утверждении тарифов</v>
      </c>
      <c r="T29" s="2498"/>
      <c r="U29" s="1295"/>
      <c r="V29" s="2499" t="str">
        <f>IF(TITLE_NUMBER_PR_CHANGE="",IF(TITLE_NUMBER_PR="","",TITLE_NUMBER_PR),TITLE_NUMBER_PR_CHANGE)</f>
        <v/>
      </c>
      <c r="W29" s="2499"/>
      <c r="X29" s="2499"/>
      <c r="Y29" s="2499"/>
      <c r="Z29" s="2499"/>
      <c r="AA29" s="2499"/>
      <c r="AB29" s="263"/>
      <c r="AC29" s="2499" t="str">
        <f>IF(TITLE_NUMBER_PR_CHANGE="",IF(TITLE_NUMBER_PR="","",TITLE_NUMBER_PR),TITLE_NUMBER_PR_CHANGE)</f>
        <v/>
      </c>
      <c r="AD29" s="2499"/>
      <c r="AE29" s="2499"/>
      <c r="AF29" s="2499"/>
      <c r="AG29" s="2499"/>
      <c r="AH29" s="2499"/>
      <c r="AI29" s="263"/>
      <c r="AJ29" s="263"/>
      <c r="AK29" s="217"/>
      <c r="AL29" s="304"/>
      <c r="AM29" s="304"/>
      <c r="AN29" s="304"/>
      <c r="AO29" s="304"/>
      <c r="AP29" s="304"/>
      <c r="AQ29" s="354">
        <v>0</v>
      </c>
    </row>
    <row r="30" spans="1:43" s="1770" customFormat="1" ht="18.75" hidden="1" customHeight="1">
      <c r="A30" s="1291"/>
      <c r="B30" s="1291"/>
      <c r="C30" s="1291"/>
      <c r="D30" s="1291"/>
      <c r="E30" s="1291"/>
      <c r="F30" s="1291"/>
      <c r="G30" s="1291"/>
      <c r="H30" s="1291"/>
      <c r="I30" s="1291"/>
      <c r="J30" s="1291"/>
      <c r="K30" s="1291"/>
      <c r="L30" s="1292"/>
      <c r="M30" s="1291"/>
      <c r="N30" s="1291"/>
      <c r="O30" s="1291"/>
      <c r="S30" s="2498" t="s">
        <v>43</v>
      </c>
      <c r="T30" s="2498"/>
      <c r="U30" s="1295"/>
      <c r="V30" s="2499" t="str">
        <f>IF(TITLE_IST_PUB_CHANGE="",IF(TITLE_IST_PUB="","",TITLE_IST_PUB),TITLE_IST_PUB_CHANGE)</f>
        <v/>
      </c>
      <c r="W30" s="2499"/>
      <c r="X30" s="2499"/>
      <c r="Y30" s="2499"/>
      <c r="Z30" s="2499"/>
      <c r="AA30" s="2499"/>
      <c r="AB30" s="263"/>
      <c r="AC30" s="2499" t="str">
        <f>IF(TITLE_IST_PUB_CHANGE="",IF(TITLE_IST_PUB="","",TITLE_IST_PUB),TITLE_IST_PUB_CHANGE)</f>
        <v/>
      </c>
      <c r="AD30" s="2499"/>
      <c r="AE30" s="2499"/>
      <c r="AF30" s="2499"/>
      <c r="AG30" s="2499"/>
      <c r="AH30" s="2499"/>
      <c r="AI30" s="263"/>
      <c r="AJ30" s="263"/>
      <c r="AK30" s="217"/>
      <c r="AL30" s="304"/>
      <c r="AM30" s="304"/>
      <c r="AN30" s="304"/>
      <c r="AO30" s="304"/>
      <c r="AP30" s="304"/>
      <c r="AQ30" s="354">
        <v>0</v>
      </c>
    </row>
    <row r="31" spans="1:43" ht="14.25" hidden="1" customHeight="1">
      <c r="Q31" s="312"/>
      <c r="R31" s="312"/>
      <c r="S31" s="1198"/>
      <c r="T31" s="393"/>
      <c r="U31" s="299"/>
      <c r="V31" s="259"/>
      <c r="W31" s="259"/>
      <c r="X31" s="259"/>
      <c r="Y31" s="259"/>
      <c r="Z31" s="259"/>
      <c r="AA31" s="259"/>
      <c r="AB31" s="259"/>
      <c r="AC31" s="259"/>
      <c r="AD31" s="259"/>
      <c r="AE31" s="259"/>
      <c r="AF31" s="259"/>
      <c r="AG31" s="259"/>
      <c r="AH31" s="259"/>
      <c r="AI31" s="259"/>
      <c r="AJ31" s="445"/>
      <c r="AQ31" s="1078">
        <v>0</v>
      </c>
    </row>
    <row r="32" spans="1:43" s="1770" customFormat="1" ht="18.75" hidden="1" customHeight="1">
      <c r="A32" s="1291"/>
      <c r="B32" s="1291"/>
      <c r="C32" s="1291"/>
      <c r="D32" s="1291"/>
      <c r="E32" s="1291"/>
      <c r="F32" s="1291"/>
      <c r="G32" s="1291"/>
      <c r="H32" s="1291"/>
      <c r="I32" s="1291"/>
      <c r="J32" s="1291"/>
      <c r="K32" s="1291"/>
      <c r="L32" s="1292"/>
      <c r="M32" s="1291"/>
      <c r="N32" s="1291"/>
      <c r="O32" s="1291"/>
      <c r="S32" s="2498" t="str">
        <f>"Дата подачи заявления об "&amp;IF(TITLE_DATE_PR_CHANGE="","утверждении","изменении")&amp;" тарифов"</f>
        <v>Дата подачи заявления об утверждении тарифов</v>
      </c>
      <c r="T32" s="2498"/>
      <c r="U32" s="1295"/>
      <c r="V32" s="2508" t="str">
        <f>IF(TITLE_DATE_PR_CHANGE="",IF(TITLE_DATE_PR="","",TITLE_DATE_PR),TITLE_DATE_PR_CHANGE)</f>
        <v/>
      </c>
      <c r="W32" s="2508"/>
      <c r="X32" s="2508"/>
      <c r="Y32" s="2508"/>
      <c r="Z32" s="2508"/>
      <c r="AA32" s="2508"/>
      <c r="AB32" s="263"/>
      <c r="AC32" s="2508" t="str">
        <f>IF(TITLE_DATE_PR_CHANGE="",IF(TITLE_DATE_PR="","",TITLE_DATE_PR),TITLE_DATE_PR_CHANGE)</f>
        <v/>
      </c>
      <c r="AD32" s="2508"/>
      <c r="AE32" s="2508"/>
      <c r="AF32" s="2508"/>
      <c r="AG32" s="2508"/>
      <c r="AH32" s="2508"/>
      <c r="AI32" s="263"/>
      <c r="AJ32" s="263"/>
      <c r="AK32" s="217"/>
      <c r="AL32" s="304"/>
      <c r="AM32" s="304"/>
      <c r="AN32" s="304"/>
      <c r="AO32" s="304"/>
      <c r="AP32" s="304"/>
      <c r="AQ32" s="354">
        <v>0</v>
      </c>
    </row>
    <row r="33" spans="1:43" s="1770" customFormat="1" ht="18.75" hidden="1" customHeight="1">
      <c r="A33" s="1291"/>
      <c r="B33" s="1291"/>
      <c r="C33" s="1291"/>
      <c r="D33" s="1291"/>
      <c r="E33" s="1291"/>
      <c r="F33" s="1291"/>
      <c r="G33" s="1291"/>
      <c r="H33" s="1291"/>
      <c r="I33" s="1291"/>
      <c r="J33" s="1291"/>
      <c r="K33" s="1291"/>
      <c r="L33" s="1292"/>
      <c r="M33" s="1291"/>
      <c r="N33" s="1291"/>
      <c r="O33" s="1291"/>
      <c r="S33" s="2498" t="str">
        <f>"Номер подачи заявления об "&amp;IF(TITLE_DATE_PR_CHANGE="","утверждении","изменении")&amp;" тарифов"</f>
        <v>Номер подачи заявления об утверждении тарифов</v>
      </c>
      <c r="T33" s="2498"/>
      <c r="U33" s="1295"/>
      <c r="V33" s="2499" t="str">
        <f>IF(TITLE_NUMBER_PR_CHANGE="",IF(TITLE_NUMBER_PR="","",TITLE_NUMBER_PR),TITLE_NUMBER_PR_CHANGE)</f>
        <v/>
      </c>
      <c r="W33" s="2499"/>
      <c r="X33" s="2499"/>
      <c r="Y33" s="2499"/>
      <c r="Z33" s="2499"/>
      <c r="AA33" s="2499"/>
      <c r="AB33" s="263"/>
      <c r="AC33" s="2499" t="str">
        <f>IF(TITLE_NUMBER_PR_CHANGE="",IF(TITLE_NUMBER_PR="","",TITLE_NUMBER_PR),TITLE_NUMBER_PR_CHANGE)</f>
        <v/>
      </c>
      <c r="AD33" s="2499"/>
      <c r="AE33" s="2499"/>
      <c r="AF33" s="2499"/>
      <c r="AG33" s="2499"/>
      <c r="AH33" s="2499"/>
      <c r="AI33" s="263"/>
      <c r="AJ33" s="263"/>
      <c r="AK33" s="217"/>
      <c r="AL33" s="304"/>
      <c r="AM33" s="304"/>
      <c r="AN33" s="304"/>
      <c r="AO33" s="304"/>
      <c r="AP33" s="304"/>
      <c r="AQ33" s="354">
        <v>0</v>
      </c>
    </row>
    <row r="34" spans="1:43" s="1770" customFormat="1" ht="1.1499999999999999" customHeight="1">
      <c r="A34" s="1291"/>
      <c r="B34" s="1291"/>
      <c r="C34" s="1291"/>
      <c r="D34" s="1291"/>
      <c r="E34" s="1291"/>
      <c r="F34" s="1291"/>
      <c r="G34" s="1291"/>
      <c r="H34" s="1291"/>
      <c r="I34" s="1291"/>
      <c r="J34" s="1291"/>
      <c r="K34" s="1291"/>
      <c r="L34" s="1292"/>
      <c r="M34" s="1291"/>
      <c r="N34" s="1291"/>
      <c r="O34" s="1291"/>
      <c r="S34" s="260"/>
      <c r="T34" s="260"/>
      <c r="U34" s="1377"/>
      <c r="V34" s="263"/>
      <c r="W34" s="263"/>
      <c r="X34" s="263"/>
      <c r="Y34" s="263"/>
      <c r="Z34" s="263"/>
      <c r="AA34" s="263"/>
      <c r="AB34" s="215" t="s">
        <v>442</v>
      </c>
      <c r="AC34" s="263"/>
      <c r="AD34" s="263"/>
      <c r="AE34" s="263"/>
      <c r="AF34" s="263"/>
      <c r="AG34" s="263"/>
      <c r="AH34" s="263"/>
      <c r="AI34" s="215" t="s">
        <v>442</v>
      </c>
      <c r="AL34" s="304"/>
      <c r="AM34" s="304"/>
      <c r="AN34" s="304"/>
      <c r="AO34" s="304"/>
      <c r="AP34" s="304"/>
      <c r="AQ34" s="354">
        <v>1</v>
      </c>
    </row>
    <row r="35" spans="1:43" ht="14.65" customHeight="1">
      <c r="Q35" s="312"/>
      <c r="R35" s="312"/>
      <c r="S35" s="1198"/>
      <c r="T35" s="299"/>
      <c r="U35" s="1167"/>
      <c r="V35" s="2500"/>
      <c r="W35" s="2500"/>
      <c r="X35" s="2500"/>
      <c r="Y35" s="2500"/>
      <c r="Z35" s="2500"/>
      <c r="AA35" s="2500"/>
      <c r="AB35" s="2500"/>
      <c r="AC35" s="2500"/>
      <c r="AD35" s="2500"/>
      <c r="AE35" s="2500"/>
      <c r="AF35" s="2500"/>
      <c r="AG35" s="2500"/>
      <c r="AH35" s="2500"/>
      <c r="AI35" s="2500"/>
      <c r="AQ35" s="1078">
        <v>14</v>
      </c>
    </row>
    <row r="36" spans="1:43" ht="14.65" customHeight="1">
      <c r="Q36" s="312"/>
      <c r="R36" s="312"/>
      <c r="S36" s="2371" t="s">
        <v>319</v>
      </c>
      <c r="T36" s="2371"/>
      <c r="U36" s="2371"/>
      <c r="V36" s="2371"/>
      <c r="W36" s="2371"/>
      <c r="X36" s="2371"/>
      <c r="Y36" s="2371"/>
      <c r="Z36" s="2371"/>
      <c r="AA36" s="2371"/>
      <c r="AB36" s="2371"/>
      <c r="AC36" s="2371"/>
      <c r="AD36" s="2371"/>
      <c r="AE36" s="2371"/>
      <c r="AF36" s="2371"/>
      <c r="AG36" s="2371"/>
      <c r="AH36" s="2371"/>
      <c r="AI36" s="2371"/>
      <c r="AJ36" s="2371"/>
      <c r="AK36" s="2371" t="s">
        <v>320</v>
      </c>
      <c r="AQ36" s="1078">
        <v>14</v>
      </c>
    </row>
    <row r="37" spans="1:43" ht="14.65" customHeight="1">
      <c r="Q37" s="312"/>
      <c r="R37" s="312"/>
      <c r="S37" s="2514" t="s">
        <v>89</v>
      </c>
      <c r="T37" s="2466" t="s">
        <v>443</v>
      </c>
      <c r="U37" s="238"/>
      <c r="V37" s="2515" t="s">
        <v>444</v>
      </c>
      <c r="W37" s="2516"/>
      <c r="X37" s="2516"/>
      <c r="Y37" s="2516"/>
      <c r="Z37" s="2516"/>
      <c r="AA37" s="2517"/>
      <c r="AB37" s="2518" t="s">
        <v>445</v>
      </c>
      <c r="AC37" s="2515" t="s">
        <v>444</v>
      </c>
      <c r="AD37" s="2516"/>
      <c r="AE37" s="2516"/>
      <c r="AF37" s="2516"/>
      <c r="AG37" s="2516"/>
      <c r="AH37" s="2517"/>
      <c r="AI37" s="2518" t="s">
        <v>446</v>
      </c>
      <c r="AJ37" s="2521" t="s">
        <v>447</v>
      </c>
      <c r="AK37" s="2371"/>
      <c r="AQ37" s="1078">
        <v>14</v>
      </c>
    </row>
    <row r="38" spans="1:43" ht="35.65" customHeight="1">
      <c r="Q38" s="312"/>
      <c r="R38" s="312"/>
      <c r="S38" s="2514"/>
      <c r="T38" s="2466"/>
      <c r="U38" s="958"/>
      <c r="V38" s="1375" t="s">
        <v>506</v>
      </c>
      <c r="W38" s="2350" t="s">
        <v>450</v>
      </c>
      <c r="X38" s="2349"/>
      <c r="Y38" s="2350" t="s">
        <v>451</v>
      </c>
      <c r="Z38" s="2356"/>
      <c r="AA38" s="2349"/>
      <c r="AB38" s="2519"/>
      <c r="AC38" s="1375" t="s">
        <v>506</v>
      </c>
      <c r="AD38" s="2350" t="s">
        <v>450</v>
      </c>
      <c r="AE38" s="2349"/>
      <c r="AF38" s="2350" t="s">
        <v>451</v>
      </c>
      <c r="AG38" s="2356"/>
      <c r="AH38" s="2349"/>
      <c r="AI38" s="2519"/>
      <c r="AJ38" s="2522"/>
      <c r="AK38" s="2371"/>
      <c r="AQ38" s="1078">
        <v>34</v>
      </c>
    </row>
    <row r="39" spans="1:43" ht="35.65" customHeight="1">
      <c r="A39" s="1293"/>
      <c r="B39" s="1293" t="s">
        <v>156</v>
      </c>
      <c r="C39" s="1293" t="s">
        <v>157</v>
      </c>
      <c r="D39" s="1293" t="s">
        <v>158</v>
      </c>
      <c r="E39" s="1287" t="s">
        <v>452</v>
      </c>
      <c r="F39" s="1287" t="s">
        <v>453</v>
      </c>
      <c r="G39" s="1287" t="s">
        <v>454</v>
      </c>
      <c r="H39" s="1287"/>
      <c r="I39" s="1287" t="s">
        <v>507</v>
      </c>
      <c r="J39" s="1287" t="s">
        <v>457</v>
      </c>
      <c r="K39" s="1287" t="s">
        <v>508</v>
      </c>
      <c r="L39" s="1287" t="s">
        <v>437</v>
      </c>
      <c r="Q39" s="312"/>
      <c r="R39" s="312"/>
      <c r="S39" s="2514"/>
      <c r="T39" s="2466"/>
      <c r="U39" s="239"/>
      <c r="V39" s="1375" t="s">
        <v>509</v>
      </c>
      <c r="W39" s="1145" t="s">
        <v>510</v>
      </c>
      <c r="X39" s="1145" t="s">
        <v>511</v>
      </c>
      <c r="Y39" s="1378" t="s">
        <v>461</v>
      </c>
      <c r="Z39" s="2474" t="s">
        <v>462</v>
      </c>
      <c r="AA39" s="2476"/>
      <c r="AB39" s="2520"/>
      <c r="AC39" s="1375" t="s">
        <v>509</v>
      </c>
      <c r="AD39" s="1145" t="s">
        <v>510</v>
      </c>
      <c r="AE39" s="1145" t="s">
        <v>511</v>
      </c>
      <c r="AF39" s="1378" t="s">
        <v>461</v>
      </c>
      <c r="AG39" s="2474" t="s">
        <v>462</v>
      </c>
      <c r="AH39" s="2476"/>
      <c r="AI39" s="2520"/>
      <c r="AJ39" s="2523"/>
      <c r="AK39" s="2371"/>
      <c r="AQ39" s="1078">
        <v>34</v>
      </c>
    </row>
    <row r="40" spans="1:43" s="1564" customFormat="1" ht="0" hidden="1" customHeight="1">
      <c r="A40" s="1293"/>
      <c r="B40" s="1293"/>
      <c r="C40" s="1293"/>
      <c r="D40" s="1293"/>
      <c r="E40" s="1293"/>
      <c r="F40" s="1293"/>
      <c r="G40" s="1293"/>
      <c r="H40" s="1293"/>
      <c r="I40" s="1293"/>
      <c r="J40" s="1293"/>
      <c r="K40" s="1293"/>
      <c r="L40" s="1287"/>
      <c r="M40" s="1285"/>
      <c r="N40" s="1285"/>
      <c r="O40" s="1285"/>
      <c r="P40" s="1169"/>
      <c r="Q40" s="1170"/>
      <c r="R40" s="1177">
        <v>1</v>
      </c>
      <c r="S40" s="1200" t="s">
        <v>100</v>
      </c>
      <c r="T40" s="1178" t="s">
        <v>103</v>
      </c>
      <c r="U40" s="1168" t="str">
        <f ca="1">OFFSET(U40,0,-1)</f>
        <v>2</v>
      </c>
      <c r="V40" s="1374">
        <f ca="1">OFFSET(V40,0,-1)+1</f>
        <v>3</v>
      </c>
      <c r="W40" s="1374">
        <f ca="1">OFFSET(W40,0,-1)+1</f>
        <v>4</v>
      </c>
      <c r="X40" s="1374">
        <f ca="1">OFFSET(X40,0,-1)+1</f>
        <v>5</v>
      </c>
      <c r="Y40" s="1374">
        <f ca="1">OFFSET(Y40,0,-1)+1</f>
        <v>6</v>
      </c>
      <c r="Z40" s="2513">
        <f ca="1">OFFSET(Z40,0,-1)+1</f>
        <v>7</v>
      </c>
      <c r="AA40" s="2513"/>
      <c r="AB40" s="1374">
        <f ca="1">OFFSET(AB40,0,-2)+1</f>
        <v>8</v>
      </c>
      <c r="AC40" s="1374">
        <f ca="1">OFFSET(AC40,0,-1)+1</f>
        <v>9</v>
      </c>
      <c r="AD40" s="1374">
        <f ca="1">OFFSET(AD40,0,-1)+1</f>
        <v>10</v>
      </c>
      <c r="AE40" s="1374">
        <f ca="1">OFFSET(AE40,0,-1)+1</f>
        <v>11</v>
      </c>
      <c r="AF40" s="1374">
        <f ca="1">OFFSET(AF40,0,-1)+1</f>
        <v>12</v>
      </c>
      <c r="AG40" s="2513">
        <f ca="1">OFFSET(AG40,0,-1)+1</f>
        <v>13</v>
      </c>
      <c r="AH40" s="2513"/>
      <c r="AI40" s="1374">
        <f ca="1">OFFSET(AI40,0,-2)+1</f>
        <v>14</v>
      </c>
      <c r="AJ40" s="1168">
        <f ca="1">OFFSET(AJ40,0,-1)</f>
        <v>14</v>
      </c>
      <c r="AK40" s="1374">
        <f ca="1">OFFSET(AK40,0,-1)+1</f>
        <v>15</v>
      </c>
      <c r="AL40" s="447"/>
      <c r="AM40" s="447"/>
      <c r="AN40" s="447"/>
      <c r="AO40" s="447"/>
      <c r="AP40" s="447"/>
      <c r="AQ40" s="432">
        <v>0</v>
      </c>
    </row>
    <row r="41" spans="1:43" ht="24" customHeight="1">
      <c r="A41" s="1286" t="s">
        <v>255</v>
      </c>
      <c r="B41" s="1286"/>
      <c r="C41" s="1286"/>
      <c r="D41" s="1286"/>
      <c r="E41" s="2506">
        <v>1</v>
      </c>
      <c r="F41" s="1286"/>
      <c r="G41" s="1286"/>
      <c r="H41" s="1286"/>
      <c r="I41" s="1286"/>
      <c r="J41" s="1286"/>
      <c r="K41" s="1286"/>
      <c r="L41" s="1287"/>
      <c r="M41" s="1288"/>
      <c r="N41" s="1288"/>
      <c r="O41" s="1288"/>
      <c r="P41" s="297"/>
      <c r="Q41" s="296"/>
      <c r="R41" s="291"/>
      <c r="S41" s="1380">
        <f>INDEX(PT_DIFFERENTIATION_NUM_NTAR,MATCH(A41,PT_DIFFERENTIATION_NTAR_ID,0))</f>
        <v>0</v>
      </c>
      <c r="T41" s="235" t="s">
        <v>144</v>
      </c>
      <c r="U41" s="237"/>
      <c r="V41" s="2492"/>
      <c r="W41" s="2493"/>
      <c r="X41" s="2493"/>
      <c r="Y41" s="2493"/>
      <c r="Z41" s="2493"/>
      <c r="AA41" s="2493"/>
      <c r="AB41" s="2494"/>
      <c r="AC41" s="2492" t="str">
        <f>INDEX(PT_DIFFERENTIATION_NTAR,MATCH(A41,PT_DIFFERENTIATION_NTAR_ID,0))</f>
        <v/>
      </c>
      <c r="AD41" s="2493"/>
      <c r="AE41" s="2493"/>
      <c r="AF41" s="2493"/>
      <c r="AG41" s="2493"/>
      <c r="AH41" s="2493"/>
      <c r="AI41" s="2493"/>
      <c r="AJ41" s="2494"/>
      <c r="AK41"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8">
        <v>23</v>
      </c>
    </row>
    <row r="42" spans="1:43" ht="24" customHeight="1">
      <c r="A42" s="1286" t="s">
        <v>255</v>
      </c>
      <c r="B42" s="1286" t="s">
        <v>256</v>
      </c>
      <c r="C42" s="1286"/>
      <c r="D42" s="1286"/>
      <c r="E42" s="2507"/>
      <c r="F42" s="2506">
        <v>1</v>
      </c>
      <c r="G42" s="1286"/>
      <c r="H42" s="1286"/>
      <c r="I42" s="1286"/>
      <c r="J42" s="1286"/>
      <c r="K42" s="1286"/>
      <c r="L42" s="1287"/>
      <c r="M42" s="1288"/>
      <c r="N42" s="1288"/>
      <c r="O42" s="1288"/>
      <c r="P42" s="1376"/>
      <c r="Q42" s="288"/>
      <c r="R42" s="289"/>
      <c r="S42" s="1380" t="str">
        <f>INDEX(PT_DIFFERENTIATION_NUM_TER,MATCH(B42,PT_DIFFERENTIATION_TER_ID,0))</f>
        <v>.</v>
      </c>
      <c r="T42" s="245" t="s">
        <v>416</v>
      </c>
      <c r="U42" s="237"/>
      <c r="V42" s="2492"/>
      <c r="W42" s="2493"/>
      <c r="X42" s="2493"/>
      <c r="Y42" s="2493"/>
      <c r="Z42" s="2493"/>
      <c r="AA42" s="2493"/>
      <c r="AB42" s="2494"/>
      <c r="AC42" s="2492" t="str">
        <f>INDEX(PT_DIFFERENTIATION_TER,MATCH(B42,PT_DIFFERENTIATION_TER_ID,0))</f>
        <v/>
      </c>
      <c r="AD42" s="2493"/>
      <c r="AE42" s="2493"/>
      <c r="AF42" s="2493"/>
      <c r="AG42" s="2493"/>
      <c r="AH42" s="2493"/>
      <c r="AI42" s="2493"/>
      <c r="AJ42" s="2494"/>
      <c r="AK42" s="1181" t="s">
        <v>417</v>
      </c>
      <c r="AM42" s="436"/>
      <c r="AN42" s="436" t="str">
        <f t="shared" si="1"/>
        <v>Территория действия тарифа</v>
      </c>
      <c r="AO42" s="436"/>
      <c r="AP42" s="436"/>
      <c r="AQ42" s="1078">
        <v>23</v>
      </c>
    </row>
    <row r="43" spans="1:43" ht="24" customHeight="1">
      <c r="A43" s="1286" t="s">
        <v>255</v>
      </c>
      <c r="B43" s="1286" t="s">
        <v>256</v>
      </c>
      <c r="C43" s="1286" t="s">
        <v>257</v>
      </c>
      <c r="D43" s="1286"/>
      <c r="E43" s="2507"/>
      <c r="F43" s="2507"/>
      <c r="G43" s="2506">
        <v>1</v>
      </c>
      <c r="H43" s="1286"/>
      <c r="I43" s="1286"/>
      <c r="J43" s="1286"/>
      <c r="K43" s="1286"/>
      <c r="L43" s="1287"/>
      <c r="M43" s="1288"/>
      <c r="N43" s="1288"/>
      <c r="O43" s="1288"/>
      <c r="P43" s="290"/>
      <c r="Q43" s="288"/>
      <c r="R43" s="289"/>
      <c r="S43" s="1380" t="str">
        <f>INDEX(PT_DIFFERENTIATION_NUM_CS,MATCH(C43,PT_DIFFERENTIATION_CS_ID,0))</f>
        <v>..</v>
      </c>
      <c r="T43" s="246" t="s">
        <v>498</v>
      </c>
      <c r="U43" s="237"/>
      <c r="V43" s="2492"/>
      <c r="W43" s="2493"/>
      <c r="X43" s="2493"/>
      <c r="Y43" s="2493"/>
      <c r="Z43" s="2493"/>
      <c r="AA43" s="2493"/>
      <c r="AB43" s="2494"/>
      <c r="AC43" s="2492" t="str">
        <f>INDEX(PT_DIFFERENTIATION_CS,MATCH(C43,PT_DIFFERENTIATION_CS_ID,0))</f>
        <v/>
      </c>
      <c r="AD43" s="2493"/>
      <c r="AE43" s="2493"/>
      <c r="AF43" s="2493"/>
      <c r="AG43" s="2493"/>
      <c r="AH43" s="2493"/>
      <c r="AI43" s="2493"/>
      <c r="AJ43" s="2494"/>
      <c r="AK43" s="1181" t="s">
        <v>499</v>
      </c>
      <c r="AM43" s="436"/>
      <c r="AN43" s="436" t="str">
        <f t="shared" si="1"/>
        <v>Наименование централизованной системы холодного водоснабжения</v>
      </c>
      <c r="AO43" s="436"/>
      <c r="AP43" s="436"/>
      <c r="AQ43" s="1078">
        <v>23</v>
      </c>
    </row>
    <row r="44" spans="1:43" ht="24" customHeight="1">
      <c r="A44" s="1286" t="s">
        <v>255</v>
      </c>
      <c r="B44" s="1286" t="s">
        <v>256</v>
      </c>
      <c r="C44" s="1286" t="s">
        <v>257</v>
      </c>
      <c r="D44" s="1286" t="s">
        <v>514</v>
      </c>
      <c r="E44" s="2507"/>
      <c r="F44" s="2507"/>
      <c r="G44" s="2507"/>
      <c r="H44" s="2507"/>
      <c r="I44" s="2504" t="str">
        <f>S43&amp;".1"</f>
        <v>...1</v>
      </c>
      <c r="J44" s="1286"/>
      <c r="K44" s="1286"/>
      <c r="L44" s="1287"/>
      <c r="P44" s="2505">
        <v>1</v>
      </c>
      <c r="Q44" s="1373"/>
      <c r="R44" s="292"/>
      <c r="S44" s="1380" t="str">
        <f>$I44</f>
        <v>...1</v>
      </c>
      <c r="T44" s="222" t="s">
        <v>500</v>
      </c>
      <c r="U44" s="237"/>
      <c r="V44" s="2576"/>
      <c r="W44" s="2577"/>
      <c r="X44" s="2577"/>
      <c r="Y44" s="2577"/>
      <c r="Z44" s="2577"/>
      <c r="AA44" s="2577"/>
      <c r="AB44" s="2578"/>
      <c r="AC44" s="2579"/>
      <c r="AD44" s="2580"/>
      <c r="AE44" s="2580"/>
      <c r="AF44" s="2580"/>
      <c r="AG44" s="2580"/>
      <c r="AH44" s="2580"/>
      <c r="AI44" s="2580"/>
      <c r="AJ44" s="2581"/>
      <c r="AK44" s="1181" t="s">
        <v>501</v>
      </c>
      <c r="AM44" s="436"/>
      <c r="AN44" s="436" t="str">
        <f t="shared" si="1"/>
        <v>Наименование признака дифференциации</v>
      </c>
      <c r="AO44" s="436"/>
      <c r="AP44" s="436"/>
      <c r="AQ44" s="1078">
        <v>23</v>
      </c>
    </row>
    <row r="45" spans="1:43" ht="24" customHeight="1">
      <c r="A45" s="1286" t="s">
        <v>255</v>
      </c>
      <c r="B45" s="1286" t="s">
        <v>256</v>
      </c>
      <c r="C45" s="1286" t="s">
        <v>257</v>
      </c>
      <c r="D45" s="1286" t="s">
        <v>514</v>
      </c>
      <c r="E45" s="2507"/>
      <c r="F45" s="2507"/>
      <c r="G45" s="2507"/>
      <c r="H45" s="2507"/>
      <c r="I45" s="2527"/>
      <c r="J45" s="2504" t="str">
        <f>I44&amp;".1"</f>
        <v>...1.1</v>
      </c>
      <c r="K45" s="1286"/>
      <c r="L45" s="1287" t="s">
        <v>425</v>
      </c>
      <c r="P45" s="2505"/>
      <c r="Q45" s="2505">
        <v>1</v>
      </c>
      <c r="R45" s="293"/>
      <c r="S45" s="1380" t="str">
        <f>$J45</f>
        <v>...1.1</v>
      </c>
      <c r="T45" s="223" t="s">
        <v>426</v>
      </c>
      <c r="U45" s="237"/>
      <c r="V45" s="2495"/>
      <c r="W45" s="2496"/>
      <c r="X45" s="2496"/>
      <c r="Y45" s="2496"/>
      <c r="Z45" s="2496"/>
      <c r="AA45" s="2496"/>
      <c r="AB45" s="2497"/>
      <c r="AC45" s="2495"/>
      <c r="AD45" s="2496"/>
      <c r="AE45" s="2496"/>
      <c r="AF45" s="2496"/>
      <c r="AG45" s="2496"/>
      <c r="AH45" s="2496"/>
      <c r="AI45" s="2496"/>
      <c r="AJ45" s="2497"/>
      <c r="AK45" s="1230" t="s">
        <v>502</v>
      </c>
      <c r="AM45" s="436"/>
      <c r="AN45" s="436" t="str">
        <f t="shared" si="1"/>
        <v>Группа потребителей</v>
      </c>
      <c r="AO45" s="436"/>
      <c r="AP45" s="436"/>
      <c r="AQ45" s="1078">
        <v>23</v>
      </c>
    </row>
    <row r="46" spans="1:43" ht="24" customHeight="1">
      <c r="A46" s="1286" t="s">
        <v>255</v>
      </c>
      <c r="B46" s="1286" t="s">
        <v>256</v>
      </c>
      <c r="C46" s="1286" t="s">
        <v>257</v>
      </c>
      <c r="D46" s="1286" t="s">
        <v>514</v>
      </c>
      <c r="E46" s="2507"/>
      <c r="F46" s="2507"/>
      <c r="G46" s="2507"/>
      <c r="H46" s="2507"/>
      <c r="I46" s="2527"/>
      <c r="J46" s="2527"/>
      <c r="K46" s="2504" t="str">
        <f>J45&amp;".1"</f>
        <v>...1.1.1</v>
      </c>
      <c r="L46" s="1287"/>
      <c r="P46" s="2505"/>
      <c r="Q46" s="2505"/>
      <c r="R46" s="293">
        <v>1</v>
      </c>
      <c r="S46" s="1380" t="str">
        <f>$K46</f>
        <v>...1.1.1</v>
      </c>
      <c r="T46" s="1360"/>
      <c r="U46" s="237"/>
      <c r="V46" s="686"/>
      <c r="W46" s="686"/>
      <c r="X46" s="1180"/>
      <c r="Y46" s="2509"/>
      <c r="Z46" s="2360" t="s">
        <v>63</v>
      </c>
      <c r="AA46" s="2509"/>
      <c r="AB46" s="2360" t="s">
        <v>63</v>
      </c>
      <c r="AC46" s="686"/>
      <c r="AD46" s="686"/>
      <c r="AE46" s="1180"/>
      <c r="AF46" s="2509"/>
      <c r="AG46" s="2360" t="s">
        <v>63</v>
      </c>
      <c r="AH46" s="2528"/>
      <c r="AI46" s="2360" t="s">
        <v>63</v>
      </c>
      <c r="AJ46" s="1361"/>
      <c r="AK46" s="257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8">
        <v>23</v>
      </c>
    </row>
    <row r="47" spans="1:43" ht="0" hidden="1" customHeight="1">
      <c r="A47" s="1286" t="s">
        <v>255</v>
      </c>
      <c r="B47" s="1286" t="s">
        <v>256</v>
      </c>
      <c r="C47" s="1286" t="s">
        <v>257</v>
      </c>
      <c r="D47" s="1286" t="s">
        <v>514</v>
      </c>
      <c r="E47" s="2507"/>
      <c r="F47" s="2507"/>
      <c r="G47" s="2507"/>
      <c r="H47" s="2507"/>
      <c r="I47" s="2527"/>
      <c r="J47" s="2527"/>
      <c r="K47" s="2504"/>
      <c r="L47" s="1287"/>
      <c r="P47" s="2505"/>
      <c r="Q47" s="2505"/>
      <c r="R47" s="293"/>
      <c r="S47" s="1379"/>
      <c r="T47" s="237"/>
      <c r="U47" s="237"/>
      <c r="V47" s="262"/>
      <c r="W47" s="262"/>
      <c r="X47" s="265" t="str">
        <f>Y46&amp;"-"&amp;AA46</f>
        <v>-</v>
      </c>
      <c r="Y47" s="2510"/>
      <c r="Z47" s="2360"/>
      <c r="AA47" s="2510"/>
      <c r="AB47" s="2360"/>
      <c r="AC47" s="262"/>
      <c r="AD47" s="262"/>
      <c r="AE47" s="265" t="str">
        <f>AF46&amp;"-"&amp;AH46</f>
        <v>-</v>
      </c>
      <c r="AF47" s="2510"/>
      <c r="AG47" s="2360"/>
      <c r="AH47" s="2529"/>
      <c r="AI47" s="2360"/>
      <c r="AJ47" s="1362"/>
      <c r="AK47" s="2575"/>
      <c r="AM47" s="436"/>
      <c r="AN47" s="436" t="str">
        <f t="shared" si="1"/>
        <v/>
      </c>
      <c r="AO47" s="436"/>
      <c r="AP47" s="436"/>
      <c r="AQ47" s="1078">
        <v>0</v>
      </c>
    </row>
    <row r="48" spans="1:43" ht="21" customHeight="1">
      <c r="A48" s="1286" t="s">
        <v>255</v>
      </c>
      <c r="B48" s="1286" t="s">
        <v>256</v>
      </c>
      <c r="C48" s="1286" t="s">
        <v>257</v>
      </c>
      <c r="D48" s="1286" t="s">
        <v>514</v>
      </c>
      <c r="E48" s="2507"/>
      <c r="F48" s="2507"/>
      <c r="G48" s="2507"/>
      <c r="H48" s="2507"/>
      <c r="I48" s="2527"/>
      <c r="J48" s="2504"/>
      <c r="K48" s="1286"/>
      <c r="L48" s="1287"/>
      <c r="P48" s="2505"/>
      <c r="Q48" s="2505"/>
      <c r="R48" s="292"/>
      <c r="S48" s="1201"/>
      <c r="T48" s="224" t="s">
        <v>503</v>
      </c>
      <c r="U48" s="303"/>
      <c r="V48" s="303"/>
      <c r="W48" s="303"/>
      <c r="X48" s="303"/>
      <c r="Y48" s="303"/>
      <c r="Z48" s="303"/>
      <c r="AA48" s="303"/>
      <c r="AB48" s="303"/>
      <c r="AC48" s="303"/>
      <c r="AD48" s="303"/>
      <c r="AE48" s="303"/>
      <c r="AF48" s="303"/>
      <c r="AG48" s="303"/>
      <c r="AH48" s="303"/>
      <c r="AI48" s="303"/>
      <c r="AJ48" s="303"/>
      <c r="AK48" s="1181" t="s">
        <v>504</v>
      </c>
      <c r="AM48" s="436"/>
      <c r="AN48" s="436" t="str">
        <f t="shared" si="1"/>
        <v>Добавить значение признака дифференциации</v>
      </c>
      <c r="AO48" s="436"/>
      <c r="AP48" s="436"/>
      <c r="AQ48" s="1078">
        <v>20</v>
      </c>
    </row>
    <row r="49" spans="1:43" ht="21.95" customHeight="1">
      <c r="A49" s="1286" t="s">
        <v>255</v>
      </c>
      <c r="B49" s="1286" t="s">
        <v>256</v>
      </c>
      <c r="C49" s="1286" t="s">
        <v>257</v>
      </c>
      <c r="D49" s="1286" t="s">
        <v>514</v>
      </c>
      <c r="E49" s="2507"/>
      <c r="F49" s="2507"/>
      <c r="G49" s="2507"/>
      <c r="H49" s="2507"/>
      <c r="I49" s="2504"/>
      <c r="J49" s="1286"/>
      <c r="K49" s="1286"/>
      <c r="L49" s="1287"/>
      <c r="P49" s="2505"/>
      <c r="Q49" s="1373"/>
      <c r="R49" s="292"/>
      <c r="S49" s="1201"/>
      <c r="T49" s="301" t="s">
        <v>431</v>
      </c>
      <c r="U49" s="303"/>
      <c r="V49" s="303"/>
      <c r="W49" s="303"/>
      <c r="X49" s="303"/>
      <c r="Y49" s="303"/>
      <c r="Z49" s="303"/>
      <c r="AA49" s="303"/>
      <c r="AB49" s="302"/>
      <c r="AC49" s="303"/>
      <c r="AD49" s="303"/>
      <c r="AE49" s="303"/>
      <c r="AF49" s="303"/>
      <c r="AG49" s="303"/>
      <c r="AH49" s="303"/>
      <c r="AI49" s="302"/>
      <c r="AJ49" s="303"/>
      <c r="AK49" s="1363"/>
      <c r="AM49" s="436"/>
      <c r="AN49" s="436" t="str">
        <f t="shared" si="1"/>
        <v>Добавить группу потребителей</v>
      </c>
      <c r="AO49" s="436"/>
      <c r="AP49" s="436"/>
      <c r="AQ49" s="1078">
        <v>21</v>
      </c>
    </row>
    <row r="50" spans="1:43" ht="21.95" customHeight="1">
      <c r="A50" s="1286" t="s">
        <v>255</v>
      </c>
      <c r="B50" s="1286" t="s">
        <v>256</v>
      </c>
      <c r="C50" s="1286" t="s">
        <v>257</v>
      </c>
      <c r="D50" s="1286" t="s">
        <v>514</v>
      </c>
      <c r="E50" s="2507"/>
      <c r="F50" s="2507"/>
      <c r="G50" s="2507"/>
      <c r="H50" s="2506"/>
      <c r="I50" s="1286"/>
      <c r="J50" s="1286"/>
      <c r="K50" s="1286"/>
      <c r="L50" s="1287"/>
      <c r="M50" s="1288"/>
      <c r="N50" s="1288"/>
      <c r="O50" s="473"/>
      <c r="P50" s="296"/>
      <c r="Q50" s="311"/>
      <c r="R50" s="291"/>
      <c r="S50" s="1201"/>
      <c r="T50" s="308" t="s">
        <v>505</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8">
        <v>21</v>
      </c>
    </row>
    <row r="51" spans="1:43" s="1565" customFormat="1" ht="0" hidden="1" customHeight="1">
      <c r="A51" s="1266" t="s">
        <v>255</v>
      </c>
      <c r="B51" s="1266" t="s">
        <v>256</v>
      </c>
      <c r="C51" s="1237"/>
      <c r="D51" s="1237"/>
      <c r="E51" s="2507"/>
      <c r="F51" s="2506"/>
      <c r="G51" s="1237"/>
      <c r="H51" s="1237"/>
      <c r="I51" s="1237"/>
      <c r="J51" s="1237"/>
      <c r="K51" s="1237"/>
      <c r="L51" s="1381"/>
      <c r="M51" s="1244"/>
      <c r="N51" s="1244"/>
      <c r="P51" s="1239"/>
      <c r="Q51" s="1240"/>
      <c r="R51" s="1239"/>
      <c r="S51" s="1245"/>
      <c r="T51" s="1248" t="s">
        <v>434</v>
      </c>
      <c r="U51" s="1247"/>
      <c r="V51" s="1247"/>
      <c r="W51" s="1247"/>
      <c r="X51" s="1247"/>
      <c r="Y51" s="1247"/>
      <c r="Z51" s="1247"/>
      <c r="AA51" s="1247"/>
      <c r="AB51" s="1247"/>
      <c r="AC51" s="1247"/>
      <c r="AD51" s="1247"/>
      <c r="AE51" s="1247"/>
      <c r="AF51" s="1247"/>
      <c r="AG51" s="1247"/>
      <c r="AH51" s="1247"/>
      <c r="AI51" s="1247"/>
      <c r="AJ51" s="1247"/>
      <c r="AK51" s="1247"/>
      <c r="AM51" s="718"/>
      <c r="AN51" s="718" t="str">
        <f t="shared" si="1"/>
        <v>Добавить централизованную систему для дифференциации</v>
      </c>
      <c r="AO51" s="718"/>
      <c r="AP51" s="718"/>
      <c r="AQ51" s="454">
        <v>0</v>
      </c>
    </row>
    <row r="52" spans="1:43" s="1565" customFormat="1" ht="0" hidden="1" customHeight="1">
      <c r="A52" s="1266" t="s">
        <v>255</v>
      </c>
      <c r="B52" s="1266"/>
      <c r="C52" s="1266"/>
      <c r="D52" s="1266"/>
      <c r="E52" s="2506"/>
      <c r="F52" s="1266"/>
      <c r="G52" s="1266"/>
      <c r="H52" s="1266"/>
      <c r="I52" s="1266"/>
      <c r="J52" s="1266"/>
      <c r="K52" s="1266"/>
      <c r="L52" s="1269"/>
      <c r="M52" s="1244"/>
      <c r="N52" s="1244"/>
      <c r="O52" s="454"/>
      <c r="P52" s="316"/>
      <c r="Q52" s="1267"/>
      <c r="R52" s="316"/>
      <c r="S52" s="1245"/>
      <c r="T52" s="1248" t="s">
        <v>435</v>
      </c>
      <c r="U52" s="1247"/>
      <c r="V52" s="1247"/>
      <c r="W52" s="1247"/>
      <c r="X52" s="1247"/>
      <c r="Y52" s="1247"/>
      <c r="Z52" s="1247"/>
      <c r="AA52" s="1247"/>
      <c r="AB52" s="1247"/>
      <c r="AC52" s="1247"/>
      <c r="AD52" s="1247"/>
      <c r="AE52" s="1247"/>
      <c r="AF52" s="1247"/>
      <c r="AG52" s="1247"/>
      <c r="AH52" s="1247"/>
      <c r="AI52" s="1247"/>
      <c r="AJ52" s="1247"/>
      <c r="AK52" s="1247"/>
      <c r="AM52" s="436"/>
      <c r="AN52" s="436" t="str">
        <f t="shared" si="1"/>
        <v>Добавить территорию для дифференциации</v>
      </c>
      <c r="AO52" s="436"/>
      <c r="AP52" s="436"/>
      <c r="AQ52" s="447">
        <v>0</v>
      </c>
    </row>
    <row r="53" spans="1:43" s="1565" customFormat="1" ht="0" hidden="1" customHeight="1">
      <c r="A53" s="1237"/>
      <c r="B53" s="1237"/>
      <c r="C53" s="1237"/>
      <c r="D53" s="1237"/>
      <c r="E53" s="1266"/>
      <c r="F53" s="1237"/>
      <c r="G53" s="1237"/>
      <c r="H53" s="1237"/>
      <c r="I53" s="1237"/>
      <c r="J53" s="1237"/>
      <c r="K53" s="1237"/>
      <c r="L53" s="1381"/>
      <c r="M53" s="1244"/>
      <c r="N53" s="1244"/>
      <c r="P53" s="1239"/>
      <c r="Q53" s="1240"/>
      <c r="R53" s="1239"/>
      <c r="S53" s="1245"/>
      <c r="T53" s="1248" t="s">
        <v>463</v>
      </c>
      <c r="U53" s="1247"/>
      <c r="V53" s="1247"/>
      <c r="W53" s="1247"/>
      <c r="X53" s="1247"/>
      <c r="Y53" s="1247"/>
      <c r="Z53" s="1247"/>
      <c r="AA53" s="1247"/>
      <c r="AB53" s="1247"/>
      <c r="AC53" s="1247"/>
      <c r="AD53" s="1247"/>
      <c r="AE53" s="1247"/>
      <c r="AF53" s="1247"/>
      <c r="AG53" s="1247"/>
      <c r="AH53" s="1247"/>
      <c r="AI53" s="1247"/>
      <c r="AJ53" s="1247"/>
      <c r="AK53" s="1247"/>
      <c r="AM53" s="718"/>
      <c r="AN53" s="718" t="str">
        <f t="shared" si="1"/>
        <v>Добавить наименование тарифа</v>
      </c>
      <c r="AO53" s="718"/>
      <c r="AP53" s="718"/>
      <c r="AQ53" s="454">
        <v>0</v>
      </c>
    </row>
    <row r="54" spans="1:43" ht="11.45" customHeight="1">
      <c r="M54" s="1083"/>
      <c r="N54" s="1083"/>
      <c r="O54" s="473"/>
      <c r="P54" s="1078"/>
      <c r="Q54" s="1078"/>
      <c r="R54" s="1078"/>
      <c r="S54" s="1078"/>
      <c r="AL54" s="1078"/>
      <c r="AM54" s="1078"/>
      <c r="AN54" s="1078"/>
      <c r="AO54" s="1078"/>
      <c r="AP54" s="1078"/>
      <c r="AQ54" s="1078">
        <v>11</v>
      </c>
    </row>
    <row r="55" spans="1:43" ht="14.65" customHeight="1">
      <c r="O55" s="473"/>
      <c r="S55" s="1176"/>
      <c r="T55" s="2526"/>
      <c r="U55" s="2526"/>
      <c r="V55" s="2526"/>
      <c r="W55" s="2526"/>
      <c r="X55" s="2526"/>
      <c r="Y55" s="2526"/>
      <c r="Z55" s="2526"/>
      <c r="AA55" s="2526"/>
      <c r="AB55" s="2526"/>
      <c r="AC55" s="2526"/>
      <c r="AD55" s="2526"/>
      <c r="AE55" s="2526"/>
      <c r="AF55" s="2526"/>
      <c r="AG55" s="2526"/>
      <c r="AH55" s="2526"/>
      <c r="AI55" s="2526"/>
      <c r="AJ55" s="2526"/>
      <c r="AK55" s="2526"/>
      <c r="AQ55" s="1078">
        <v>14</v>
      </c>
    </row>
    <row r="56" spans="1:43" ht="14.65" customHeight="1">
      <c r="O56" s="473"/>
      <c r="AQ56" s="1078">
        <v>14</v>
      </c>
    </row>
    <row r="57" spans="1:43" ht="14.65" customHeight="1">
      <c r="O57" s="473"/>
      <c r="S57" s="1176"/>
      <c r="T57" s="2526"/>
      <c r="U57" s="2526"/>
      <c r="V57" s="2526"/>
      <c r="W57" s="2526"/>
      <c r="X57" s="2526"/>
      <c r="Y57" s="2526"/>
      <c r="Z57" s="2526"/>
      <c r="AA57" s="2526"/>
      <c r="AB57" s="2526"/>
      <c r="AC57" s="2526"/>
      <c r="AD57" s="2526"/>
      <c r="AE57" s="2526"/>
      <c r="AF57" s="2526"/>
      <c r="AG57" s="2526"/>
      <c r="AH57" s="2526"/>
      <c r="AI57" s="2526"/>
      <c r="AJ57" s="2526"/>
      <c r="AK57" s="2526"/>
      <c r="AQ57" s="1078">
        <v>14</v>
      </c>
    </row>
    <row r="58" spans="1:43" ht="22.5" hidden="1" customHeight="1">
      <c r="A58" s="1083" t="s">
        <v>83</v>
      </c>
      <c r="B58" s="1083">
        <v>0</v>
      </c>
      <c r="C58" s="1083">
        <v>0</v>
      </c>
      <c r="D58" s="1083">
        <v>0</v>
      </c>
      <c r="E58" s="1083">
        <v>0</v>
      </c>
      <c r="F58" s="1083">
        <v>0</v>
      </c>
      <c r="G58" s="1083">
        <v>0</v>
      </c>
      <c r="H58" s="1083">
        <v>0</v>
      </c>
      <c r="I58" s="1083">
        <v>0</v>
      </c>
      <c r="J58" s="1083">
        <v>0</v>
      </c>
      <c r="K58" s="1083">
        <v>0</v>
      </c>
      <c r="L58" s="1370">
        <v>0</v>
      </c>
      <c r="M58" s="1285">
        <v>0</v>
      </c>
      <c r="N58" s="1285">
        <v>0</v>
      </c>
      <c r="O58" s="1285">
        <v>0</v>
      </c>
      <c r="P58" s="1369">
        <v>3</v>
      </c>
      <c r="Q58" s="281">
        <v>3</v>
      </c>
      <c r="R58" s="281">
        <v>3</v>
      </c>
      <c r="S58" s="517">
        <v>12</v>
      </c>
      <c r="T58" s="1078">
        <v>35</v>
      </c>
      <c r="U58" s="1078">
        <v>0</v>
      </c>
      <c r="V58" s="1078">
        <v>0</v>
      </c>
      <c r="W58" s="1078">
        <v>0</v>
      </c>
      <c r="X58" s="1078">
        <v>0</v>
      </c>
      <c r="Y58" s="1078">
        <v>0</v>
      </c>
      <c r="Z58" s="1078">
        <v>0</v>
      </c>
      <c r="AA58" s="1078">
        <v>0</v>
      </c>
      <c r="AB58" s="1078">
        <v>0</v>
      </c>
      <c r="AC58" s="1078">
        <v>24</v>
      </c>
      <c r="AD58" s="1078">
        <v>24</v>
      </c>
      <c r="AE58" s="1078">
        <v>24</v>
      </c>
      <c r="AF58" s="1078">
        <v>11</v>
      </c>
      <c r="AG58" s="1078">
        <v>3</v>
      </c>
      <c r="AH58" s="1078">
        <v>11</v>
      </c>
      <c r="AI58" s="1078">
        <v>0</v>
      </c>
      <c r="AJ58" s="1078">
        <v>4</v>
      </c>
      <c r="AK58" s="1078">
        <v>115</v>
      </c>
      <c r="AL58" s="447">
        <v>10</v>
      </c>
      <c r="AM58" s="447">
        <v>10</v>
      </c>
      <c r="AN58" s="447">
        <v>10</v>
      </c>
      <c r="AO58" s="447">
        <v>10</v>
      </c>
      <c r="AP58" s="447">
        <v>10</v>
      </c>
      <c r="AQ58" s="1078">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4.140625" style="1289" hidden="1" customWidth="1"/>
    <col min="10" max="10" width="9.85546875" style="1289" hidden="1" customWidth="1"/>
    <col min="11" max="11" width="14.7109375" style="1289" hidden="1" customWidth="1"/>
    <col min="12" max="12" width="19.140625" style="2043" hidden="1" customWidth="1"/>
    <col min="13" max="14" width="12.28515625" style="1696" hidden="1" customWidth="1"/>
    <col min="15" max="15" width="23.42578125" style="1696" hidden="1" customWidth="1"/>
    <col min="16" max="16" width="3" style="2032" customWidth="1"/>
    <col min="17" max="18" width="3" style="281" customWidth="1"/>
    <col min="19" max="19" width="12" style="2033" customWidth="1"/>
    <col min="20" max="20" width="35" style="1558" customWidth="1"/>
    <col min="21" max="21" width="0.140625" style="1558" customWidth="1"/>
    <col min="22" max="24" width="24.7109375" style="1558" hidden="1" customWidth="1"/>
    <col min="25" max="25" width="11.7109375" style="1558" hidden="1" customWidth="1"/>
    <col min="26" max="26" width="3.7109375" style="1558" hidden="1" customWidth="1"/>
    <col min="27" max="27" width="11.7109375" style="1558" hidden="1" customWidth="1"/>
    <col min="28" max="28" width="8.5703125" style="1558" hidden="1" customWidth="1"/>
    <col min="29" max="29" width="24.7109375" style="1558" customWidth="1"/>
    <col min="30" max="31" width="24" style="1558" customWidth="1"/>
    <col min="32" max="32" width="11" style="1558" customWidth="1"/>
    <col min="33" max="33" width="3.7109375" style="1558" customWidth="1"/>
    <col min="34" max="34" width="11" style="1558" customWidth="1"/>
    <col min="35" max="35" width="8.5703125" style="1558" hidden="1" customWidth="1"/>
    <col min="36" max="36" width="4" style="1558" customWidth="1"/>
    <col min="37" max="37" width="115" style="1558" customWidth="1"/>
    <col min="38" max="42" width="10" style="1565" customWidth="1"/>
    <col min="43" max="43" width="10.5703125" style="1558" hidden="1"/>
  </cols>
  <sheetData>
    <row r="1" spans="1:43" ht="22.5" hidden="1" customHeight="1">
      <c r="X1" s="264"/>
      <c r="Y1" s="264"/>
      <c r="AE1" s="264"/>
      <c r="AF1" s="264"/>
      <c r="AQ1" s="1078" t="s">
        <v>14</v>
      </c>
    </row>
    <row r="2" spans="1:43" ht="23.25" hidden="1" customHeight="1">
      <c r="A2" s="1286"/>
      <c r="B2" s="1286"/>
      <c r="C2" s="1286"/>
      <c r="D2" s="1286"/>
      <c r="E2" s="2506">
        <v>1</v>
      </c>
      <c r="F2" s="1286"/>
      <c r="G2" s="1286"/>
      <c r="H2" s="1286"/>
      <c r="I2" s="1286"/>
      <c r="J2" s="1286"/>
      <c r="K2" s="1286"/>
      <c r="L2" s="1287"/>
      <c r="M2" s="1288"/>
      <c r="N2" s="1288"/>
      <c r="O2" s="1288"/>
      <c r="P2" s="297"/>
      <c r="Q2" s="296"/>
      <c r="R2" s="291"/>
      <c r="S2" s="1380" t="e">
        <f>INDEX(PT_DIFFERENTIATION_NUM_NTAR,MATCH(A2,PT_DIFFERENTIATION_NTAR_ID,0))</f>
        <v>#N/A</v>
      </c>
      <c r="T2" s="235" t="s">
        <v>144</v>
      </c>
      <c r="U2" s="237"/>
      <c r="V2" s="2492"/>
      <c r="W2" s="2493"/>
      <c r="X2" s="2493"/>
      <c r="Y2" s="2493"/>
      <c r="Z2" s="2493"/>
      <c r="AA2" s="2493"/>
      <c r="AB2" s="2494"/>
      <c r="AC2" s="2492" t="e">
        <f>INDEX(PT_DIFFERENTIATION_NTAR,MATCH(A2,PT_DIFFERENTIATION_NTAR_ID,0))</f>
        <v>#N/A</v>
      </c>
      <c r="AD2" s="2493"/>
      <c r="AE2" s="2493"/>
      <c r="AF2" s="2493"/>
      <c r="AG2" s="2493"/>
      <c r="AH2" s="2493"/>
      <c r="AI2" s="2493"/>
      <c r="AJ2" s="2494"/>
      <c r="AK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8">
        <v>0</v>
      </c>
    </row>
    <row r="3" spans="1:43" ht="23.25" hidden="1" customHeight="1">
      <c r="A3" s="1286"/>
      <c r="B3" s="1286"/>
      <c r="C3" s="1286"/>
      <c r="D3" s="1286"/>
      <c r="E3" s="2507"/>
      <c r="F3" s="2506">
        <v>1</v>
      </c>
      <c r="G3" s="1286"/>
      <c r="H3" s="1286"/>
      <c r="I3" s="1286"/>
      <c r="J3" s="1286"/>
      <c r="K3" s="1286"/>
      <c r="L3" s="1287"/>
      <c r="M3" s="1288"/>
      <c r="N3" s="1288"/>
      <c r="O3" s="1288"/>
      <c r="P3" s="1376"/>
      <c r="Q3" s="288"/>
      <c r="R3" s="289"/>
      <c r="S3" s="1380" t="e">
        <f>INDEX(PT_DIFFERENTIATION_NUM_TER,MATCH(B3,PT_DIFFERENTIATION_TER_ID,0))</f>
        <v>#N/A</v>
      </c>
      <c r="T3" s="245" t="s">
        <v>416</v>
      </c>
      <c r="U3" s="237"/>
      <c r="V3" s="2492"/>
      <c r="W3" s="2493"/>
      <c r="X3" s="2493"/>
      <c r="Y3" s="2493"/>
      <c r="Z3" s="2493"/>
      <c r="AA3" s="2493"/>
      <c r="AB3" s="2494"/>
      <c r="AC3" s="2492" t="e">
        <f>INDEX(PT_DIFFERENTIATION_TER,MATCH(B3,PT_DIFFERENTIATION_TER_ID,0))</f>
        <v>#N/A</v>
      </c>
      <c r="AD3" s="2493"/>
      <c r="AE3" s="2493"/>
      <c r="AF3" s="2493"/>
      <c r="AG3" s="2493"/>
      <c r="AH3" s="2493"/>
      <c r="AI3" s="2493"/>
      <c r="AJ3" s="2494"/>
      <c r="AK3" s="1181" t="s">
        <v>417</v>
      </c>
      <c r="AM3" s="436"/>
      <c r="AN3" s="436" t="str">
        <f t="shared" si="0"/>
        <v>Территория действия тарифа</v>
      </c>
      <c r="AO3" s="436"/>
      <c r="AP3" s="436"/>
      <c r="AQ3" s="1078">
        <v>0</v>
      </c>
    </row>
    <row r="4" spans="1:43" ht="23.25" hidden="1" customHeight="1">
      <c r="A4" s="1286"/>
      <c r="B4" s="1286"/>
      <c r="C4" s="1286"/>
      <c r="D4" s="1286"/>
      <c r="E4" s="2507"/>
      <c r="F4" s="2507"/>
      <c r="G4" s="2506">
        <v>1</v>
      </c>
      <c r="H4" s="1286"/>
      <c r="I4" s="1286"/>
      <c r="J4" s="1286"/>
      <c r="K4" s="1286"/>
      <c r="L4" s="1287"/>
      <c r="M4" s="1288"/>
      <c r="N4" s="1288"/>
      <c r="O4" s="1288"/>
      <c r="P4" s="290"/>
      <c r="Q4" s="288"/>
      <c r="R4" s="289"/>
      <c r="S4" s="1380" t="e">
        <f>INDEX(PT_DIFFERENTIATION_NUM_CS,MATCH(C4,PT_DIFFERENTIATION_CS_ID,0))</f>
        <v>#N/A</v>
      </c>
      <c r="T4" s="246" t="s">
        <v>498</v>
      </c>
      <c r="U4" s="237"/>
      <c r="V4" s="2492"/>
      <c r="W4" s="2493"/>
      <c r="X4" s="2493"/>
      <c r="Y4" s="2493"/>
      <c r="Z4" s="2493"/>
      <c r="AA4" s="2493"/>
      <c r="AB4" s="2494"/>
      <c r="AC4" s="2492" t="e">
        <f>INDEX(PT_DIFFERENTIATION_CS,MATCH(C4,PT_DIFFERENTIATION_CS_ID,0))</f>
        <v>#N/A</v>
      </c>
      <c r="AD4" s="2493"/>
      <c r="AE4" s="2493"/>
      <c r="AF4" s="2493"/>
      <c r="AG4" s="2493"/>
      <c r="AH4" s="2493"/>
      <c r="AI4" s="2493"/>
      <c r="AJ4" s="2494"/>
      <c r="AK4" s="1181" t="s">
        <v>499</v>
      </c>
      <c r="AM4" s="436"/>
      <c r="AN4" s="436" t="str">
        <f t="shared" si="0"/>
        <v>Наименование централизованной системы холодного водоснабжения</v>
      </c>
      <c r="AO4" s="436"/>
      <c r="AP4" s="436"/>
      <c r="AQ4" s="1078">
        <v>0</v>
      </c>
    </row>
    <row r="5" spans="1:43" ht="23.25" hidden="1" customHeight="1">
      <c r="A5" s="1286"/>
      <c r="B5" s="1286"/>
      <c r="C5" s="1286"/>
      <c r="D5" s="1286"/>
      <c r="E5" s="2507"/>
      <c r="F5" s="2507"/>
      <c r="G5" s="2507"/>
      <c r="H5" s="2507"/>
      <c r="I5" s="2504" t="e">
        <f>S4&amp;".1"</f>
        <v>#N/A</v>
      </c>
      <c r="J5" s="1286"/>
      <c r="K5" s="1286"/>
      <c r="L5" s="1287"/>
      <c r="P5" s="2505">
        <v>1</v>
      </c>
      <c r="Q5" s="1373"/>
      <c r="R5" s="292"/>
      <c r="S5" s="1380" t="e">
        <f>$I5</f>
        <v>#N/A</v>
      </c>
      <c r="T5" s="222" t="s">
        <v>500</v>
      </c>
      <c r="U5" s="237"/>
      <c r="V5" s="2576"/>
      <c r="W5" s="2577"/>
      <c r="X5" s="2577"/>
      <c r="Y5" s="2577"/>
      <c r="Z5" s="2577"/>
      <c r="AA5" s="2577"/>
      <c r="AB5" s="2578"/>
      <c r="AC5" s="2579"/>
      <c r="AD5" s="2580"/>
      <c r="AE5" s="2580"/>
      <c r="AF5" s="2580"/>
      <c r="AG5" s="2580"/>
      <c r="AH5" s="2580"/>
      <c r="AI5" s="2580"/>
      <c r="AJ5" s="2581"/>
      <c r="AK5" s="1181" t="s">
        <v>501</v>
      </c>
      <c r="AM5" s="436"/>
      <c r="AN5" s="436" t="str">
        <f t="shared" si="0"/>
        <v>Наименование признака дифференциации</v>
      </c>
      <c r="AO5" s="436"/>
      <c r="AP5" s="436"/>
      <c r="AQ5" s="1078">
        <v>0</v>
      </c>
    </row>
    <row r="6" spans="1:43" ht="23.25" hidden="1" customHeight="1">
      <c r="A6" s="1286"/>
      <c r="B6" s="1286"/>
      <c r="C6" s="1286"/>
      <c r="D6" s="1286"/>
      <c r="E6" s="2507"/>
      <c r="F6" s="2507"/>
      <c r="G6" s="2507"/>
      <c r="H6" s="2507"/>
      <c r="I6" s="2527"/>
      <c r="J6" s="2504" t="e">
        <f>I5&amp;".1"</f>
        <v>#N/A</v>
      </c>
      <c r="K6" s="1286"/>
      <c r="L6" s="1287" t="s">
        <v>425</v>
      </c>
      <c r="P6" s="2505"/>
      <c r="Q6" s="2505">
        <v>1</v>
      </c>
      <c r="R6" s="293"/>
      <c r="S6" s="1380" t="e">
        <f>$J6</f>
        <v>#N/A</v>
      </c>
      <c r="T6" s="223" t="s">
        <v>426</v>
      </c>
      <c r="U6" s="237"/>
      <c r="V6" s="2495"/>
      <c r="W6" s="2496"/>
      <c r="X6" s="2496"/>
      <c r="Y6" s="2496"/>
      <c r="Z6" s="2496"/>
      <c r="AA6" s="2496"/>
      <c r="AB6" s="2497"/>
      <c r="AC6" s="2495"/>
      <c r="AD6" s="2496"/>
      <c r="AE6" s="2496"/>
      <c r="AF6" s="2496"/>
      <c r="AG6" s="2496"/>
      <c r="AH6" s="2496"/>
      <c r="AI6" s="2496"/>
      <c r="AJ6" s="2497"/>
      <c r="AK6" s="1230" t="s">
        <v>502</v>
      </c>
      <c r="AM6" s="436"/>
      <c r="AN6" s="436" t="str">
        <f t="shared" si="0"/>
        <v>Группа потребителей</v>
      </c>
      <c r="AO6" s="436"/>
      <c r="AP6" s="436"/>
      <c r="AQ6" s="1078">
        <v>0</v>
      </c>
    </row>
    <row r="7" spans="1:43" ht="23.25" hidden="1" customHeight="1">
      <c r="A7" s="1286"/>
      <c r="B7" s="1286"/>
      <c r="C7" s="1286"/>
      <c r="D7" s="1286"/>
      <c r="E7" s="2507"/>
      <c r="F7" s="2507"/>
      <c r="G7" s="2507"/>
      <c r="H7" s="2507"/>
      <c r="I7" s="2527"/>
      <c r="J7" s="2527"/>
      <c r="K7" s="2504" t="e">
        <f>J6&amp;".1"</f>
        <v>#N/A</v>
      </c>
      <c r="L7" s="1287"/>
      <c r="P7" s="2505"/>
      <c r="Q7" s="2505"/>
      <c r="R7" s="293">
        <v>1</v>
      </c>
      <c r="S7" s="1380" t="e">
        <f>$K7</f>
        <v>#N/A</v>
      </c>
      <c r="T7" s="1360"/>
      <c r="U7" s="237"/>
      <c r="V7" s="686"/>
      <c r="W7" s="686"/>
      <c r="X7" s="1180"/>
      <c r="Y7" s="2509"/>
      <c r="Z7" s="2360" t="s">
        <v>63</v>
      </c>
      <c r="AA7" s="2509"/>
      <c r="AB7" s="2360" t="s">
        <v>63</v>
      </c>
      <c r="AC7" s="686"/>
      <c r="AD7" s="686"/>
      <c r="AE7" s="1180"/>
      <c r="AF7" s="2509"/>
      <c r="AG7" s="2360" t="s">
        <v>63</v>
      </c>
      <c r="AH7" s="2528"/>
      <c r="AI7" s="2360" t="s">
        <v>63</v>
      </c>
      <c r="AJ7" s="1361"/>
      <c r="AK7" s="257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8">
        <v>0</v>
      </c>
    </row>
    <row r="8" spans="1:43" ht="14.25" hidden="1" customHeight="1">
      <c r="A8" s="1286"/>
      <c r="B8" s="1286"/>
      <c r="C8" s="1286"/>
      <c r="D8" s="1286"/>
      <c r="E8" s="2507"/>
      <c r="F8" s="2507"/>
      <c r="G8" s="2507"/>
      <c r="H8" s="2507"/>
      <c r="I8" s="2527"/>
      <c r="J8" s="2527"/>
      <c r="K8" s="2504"/>
      <c r="L8" s="1287"/>
      <c r="P8" s="2505"/>
      <c r="Q8" s="2505"/>
      <c r="R8" s="293"/>
      <c r="S8" s="1379"/>
      <c r="T8" s="237"/>
      <c r="U8" s="237"/>
      <c r="V8" s="262"/>
      <c r="W8" s="262"/>
      <c r="X8" s="265" t="str">
        <f>Y7&amp;"-"&amp;AA7</f>
        <v>-</v>
      </c>
      <c r="Y8" s="2510"/>
      <c r="Z8" s="2360"/>
      <c r="AA8" s="2510"/>
      <c r="AB8" s="2360"/>
      <c r="AC8" s="262"/>
      <c r="AD8" s="262"/>
      <c r="AE8" s="265" t="str">
        <f>AF7&amp;"-"&amp;AH7</f>
        <v>-</v>
      </c>
      <c r="AF8" s="2510"/>
      <c r="AG8" s="2360"/>
      <c r="AH8" s="2529"/>
      <c r="AI8" s="2360"/>
      <c r="AJ8" s="1362"/>
      <c r="AK8" s="2575"/>
      <c r="AM8" s="436"/>
      <c r="AN8" s="436" t="str">
        <f t="shared" si="0"/>
        <v/>
      </c>
      <c r="AO8" s="436"/>
      <c r="AP8" s="436"/>
      <c r="AQ8" s="1078">
        <v>0</v>
      </c>
    </row>
    <row r="9" spans="1:43" ht="21" hidden="1" customHeight="1">
      <c r="A9" s="1286"/>
      <c r="B9" s="1286"/>
      <c r="C9" s="1286"/>
      <c r="D9" s="1286"/>
      <c r="E9" s="2507"/>
      <c r="F9" s="2507"/>
      <c r="G9" s="2507"/>
      <c r="H9" s="2507"/>
      <c r="I9" s="2527"/>
      <c r="J9" s="2504"/>
      <c r="K9" s="1286"/>
      <c r="L9" s="1287"/>
      <c r="P9" s="2505"/>
      <c r="Q9" s="2505"/>
      <c r="R9" s="292"/>
      <c r="S9" s="1201"/>
      <c r="T9" s="224" t="s">
        <v>503</v>
      </c>
      <c r="U9" s="303"/>
      <c r="V9" s="303"/>
      <c r="W9" s="303"/>
      <c r="X9" s="303"/>
      <c r="Y9" s="303"/>
      <c r="Z9" s="303"/>
      <c r="AA9" s="303"/>
      <c r="AB9" s="303"/>
      <c r="AC9" s="303"/>
      <c r="AD9" s="303"/>
      <c r="AE9" s="303"/>
      <c r="AF9" s="303"/>
      <c r="AG9" s="303"/>
      <c r="AH9" s="303"/>
      <c r="AI9" s="303"/>
      <c r="AJ9" s="303"/>
      <c r="AK9" s="1181" t="s">
        <v>504</v>
      </c>
      <c r="AM9" s="436"/>
      <c r="AN9" s="436" t="str">
        <f t="shared" si="0"/>
        <v>Добавить значение признака дифференциации</v>
      </c>
      <c r="AO9" s="436"/>
      <c r="AP9" s="436"/>
      <c r="AQ9" s="1078">
        <v>0</v>
      </c>
    </row>
    <row r="10" spans="1:43" ht="21" hidden="1" customHeight="1">
      <c r="A10" s="1286"/>
      <c r="B10" s="1286"/>
      <c r="C10" s="1286"/>
      <c r="D10" s="1286"/>
      <c r="E10" s="2507"/>
      <c r="F10" s="2507"/>
      <c r="G10" s="2507"/>
      <c r="H10" s="2507"/>
      <c r="I10" s="2504"/>
      <c r="J10" s="1286"/>
      <c r="K10" s="1286"/>
      <c r="L10" s="1287"/>
      <c r="P10" s="2505"/>
      <c r="Q10" s="1373"/>
      <c r="R10" s="292"/>
      <c r="S10" s="1201"/>
      <c r="T10" s="301" t="s">
        <v>431</v>
      </c>
      <c r="U10" s="303"/>
      <c r="V10" s="303"/>
      <c r="W10" s="303"/>
      <c r="X10" s="303"/>
      <c r="Y10" s="303"/>
      <c r="Z10" s="303"/>
      <c r="AA10" s="303"/>
      <c r="AB10" s="302"/>
      <c r="AC10" s="303"/>
      <c r="AD10" s="303"/>
      <c r="AE10" s="303"/>
      <c r="AF10" s="303"/>
      <c r="AG10" s="303"/>
      <c r="AH10" s="303"/>
      <c r="AI10" s="302"/>
      <c r="AJ10" s="303"/>
      <c r="AK10" s="1363"/>
      <c r="AM10" s="436"/>
      <c r="AN10" s="436" t="str">
        <f t="shared" si="0"/>
        <v>Добавить группу потребителей</v>
      </c>
      <c r="AO10" s="436"/>
      <c r="AP10" s="436"/>
      <c r="AQ10" s="1078">
        <v>0</v>
      </c>
    </row>
    <row r="11" spans="1:43" ht="21" hidden="1" customHeight="1">
      <c r="A11" s="1286"/>
      <c r="B11" s="1286"/>
      <c r="C11" s="1286"/>
      <c r="D11" s="1286"/>
      <c r="E11" s="2507"/>
      <c r="F11" s="2507"/>
      <c r="G11" s="2507"/>
      <c r="H11" s="2506"/>
      <c r="I11" s="1286"/>
      <c r="J11" s="1286"/>
      <c r="K11" s="1286"/>
      <c r="L11" s="1287"/>
      <c r="M11" s="1288"/>
      <c r="N11" s="1288"/>
      <c r="O11" s="473"/>
      <c r="P11" s="296"/>
      <c r="Q11" s="311"/>
      <c r="R11" s="291"/>
      <c r="S11" s="1201"/>
      <c r="T11" s="308" t="s">
        <v>505</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8">
        <v>0</v>
      </c>
    </row>
    <row r="12" spans="1:43" s="1565" customFormat="1" ht="14.25" hidden="1" customHeight="1">
      <c r="A12" s="1266"/>
      <c r="B12" s="1266"/>
      <c r="C12" s="1237"/>
      <c r="D12" s="1237"/>
      <c r="E12" s="2507"/>
      <c r="F12" s="2506"/>
      <c r="G12" s="1237"/>
      <c r="H12" s="1237"/>
      <c r="I12" s="1237"/>
      <c r="J12" s="1237"/>
      <c r="K12" s="1237"/>
      <c r="L12" s="1381"/>
      <c r="M12" s="1244"/>
      <c r="N12" s="1244"/>
      <c r="P12" s="1239"/>
      <c r="Q12" s="1240"/>
      <c r="R12" s="1239"/>
      <c r="S12" s="1245"/>
      <c r="T12" s="1248" t="s">
        <v>434</v>
      </c>
      <c r="U12" s="1247"/>
      <c r="V12" s="1247"/>
      <c r="W12" s="1247"/>
      <c r="X12" s="1247"/>
      <c r="Y12" s="1247"/>
      <c r="Z12" s="1247"/>
      <c r="AA12" s="1247"/>
      <c r="AB12" s="1247"/>
      <c r="AC12" s="1247"/>
      <c r="AD12" s="1247"/>
      <c r="AE12" s="1247"/>
      <c r="AF12" s="1247"/>
      <c r="AG12" s="1247"/>
      <c r="AH12" s="1247"/>
      <c r="AI12" s="1247"/>
      <c r="AJ12" s="1247"/>
      <c r="AK12" s="1247"/>
      <c r="AM12" s="718"/>
      <c r="AN12" s="718" t="str">
        <f t="shared" si="0"/>
        <v>Добавить централизованную систему для дифференциации</v>
      </c>
      <c r="AO12" s="718"/>
      <c r="AP12" s="718"/>
      <c r="AQ12" s="454">
        <v>0</v>
      </c>
    </row>
    <row r="13" spans="1:43" s="1565" customFormat="1" ht="14.25" hidden="1" customHeight="1">
      <c r="A13" s="1266"/>
      <c r="B13" s="1266"/>
      <c r="C13" s="1266"/>
      <c r="D13" s="1266"/>
      <c r="E13" s="2506"/>
      <c r="F13" s="1266"/>
      <c r="G13" s="1266"/>
      <c r="H13" s="1266"/>
      <c r="I13" s="1266"/>
      <c r="J13" s="1266"/>
      <c r="K13" s="1266"/>
      <c r="L13" s="1269"/>
      <c r="M13" s="1244"/>
      <c r="N13" s="1244"/>
      <c r="O13" s="454"/>
      <c r="P13" s="316"/>
      <c r="Q13" s="1267"/>
      <c r="R13" s="316"/>
      <c r="S13" s="1245"/>
      <c r="T13" s="1248" t="s">
        <v>435</v>
      </c>
      <c r="U13" s="1247"/>
      <c r="V13" s="1247"/>
      <c r="W13" s="1247"/>
      <c r="X13" s="1247"/>
      <c r="Y13" s="1247"/>
      <c r="Z13" s="1247"/>
      <c r="AA13" s="1247"/>
      <c r="AB13" s="1247"/>
      <c r="AC13" s="1247"/>
      <c r="AD13" s="1247"/>
      <c r="AE13" s="1247"/>
      <c r="AF13" s="1247"/>
      <c r="AG13" s="1247"/>
      <c r="AH13" s="1247"/>
      <c r="AI13" s="1247"/>
      <c r="AJ13" s="1247"/>
      <c r="AK13" s="1247"/>
      <c r="AM13" s="436"/>
      <c r="AN13" s="436" t="str">
        <f t="shared" si="0"/>
        <v>Добавить территорию для дифференциации</v>
      </c>
      <c r="AO13" s="436"/>
      <c r="AP13" s="436"/>
      <c r="AQ13" s="447">
        <v>0</v>
      </c>
    </row>
    <row r="14" spans="1:43" ht="14.25" hidden="1" customHeight="1">
      <c r="AB14" s="264"/>
      <c r="AI14" s="264"/>
      <c r="AQ14" s="1078">
        <v>0</v>
      </c>
    </row>
    <row r="15" spans="1:43" ht="14.25" hidden="1" customHeight="1">
      <c r="AC15" s="1283"/>
      <c r="AD15" s="1283"/>
      <c r="AE15" s="1284"/>
      <c r="AF15" s="2511"/>
      <c r="AG15" s="2512" t="s">
        <v>63</v>
      </c>
      <c r="AH15" s="2511"/>
      <c r="AI15" s="2512" t="s">
        <v>63</v>
      </c>
      <c r="AQ15" s="1078">
        <v>0</v>
      </c>
    </row>
    <row r="16" spans="1:43" ht="14.25" hidden="1" customHeight="1">
      <c r="AC16" s="1283"/>
      <c r="AD16" s="1283"/>
      <c r="AE16" s="265" t="str">
        <f>AF15&amp;"-"&amp;AH15</f>
        <v>-</v>
      </c>
      <c r="AF16" s="2512"/>
      <c r="AG16" s="2512"/>
      <c r="AH16" s="2512"/>
      <c r="AI16" s="2512"/>
      <c r="AQ16" s="1078">
        <v>0</v>
      </c>
    </row>
    <row r="17" spans="1:43" ht="14.25" hidden="1" customHeight="1">
      <c r="AI17" s="264"/>
      <c r="AQ17" s="1078">
        <v>0</v>
      </c>
    </row>
    <row r="18" spans="1:43" s="1289" customFormat="1" ht="22.5" hidden="1" customHeight="1">
      <c r="L18" s="1370"/>
      <c r="M18" s="1285"/>
      <c r="N18" s="1285"/>
      <c r="O18" s="1290" t="s">
        <v>436</v>
      </c>
      <c r="P18" s="1285"/>
      <c r="Q18" s="1294"/>
      <c r="R18" s="1294"/>
      <c r="S18" s="665"/>
      <c r="Y18" s="1290"/>
      <c r="AA18" s="1290"/>
      <c r="AF18" s="1290"/>
      <c r="AH18" s="1290"/>
      <c r="AL18" s="447"/>
      <c r="AM18" s="447"/>
      <c r="AN18" s="447"/>
      <c r="AO18" s="447"/>
      <c r="AP18" s="447"/>
      <c r="AQ18" s="1083">
        <v>0</v>
      </c>
    </row>
    <row r="19" spans="1:43" s="1289" customFormat="1" ht="14.25" hidden="1" customHeight="1">
      <c r="L19" s="1370"/>
      <c r="M19" s="1285"/>
      <c r="N19" s="1285"/>
      <c r="O19" s="1285"/>
      <c r="P19" s="1285"/>
      <c r="Q19" s="1294"/>
      <c r="R19" s="1294"/>
      <c r="S19" s="665"/>
      <c r="AL19" s="447"/>
      <c r="AM19" s="447"/>
      <c r="AN19" s="447"/>
      <c r="AO19" s="447"/>
      <c r="AP19" s="447"/>
      <c r="AQ19" s="1083">
        <v>0</v>
      </c>
    </row>
    <row r="20" spans="1:43" s="1289" customFormat="1" ht="12" hidden="1" customHeight="1">
      <c r="L20" s="1370"/>
      <c r="M20" s="1285"/>
      <c r="N20" s="1285"/>
      <c r="O20" s="1287" t="s">
        <v>437</v>
      </c>
      <c r="P20" s="1285"/>
      <c r="Q20" s="1365"/>
      <c r="R20" s="1365"/>
      <c r="S20" s="665"/>
      <c r="T20" s="1083" t="s">
        <v>438</v>
      </c>
      <c r="Z20" s="123" t="s">
        <v>439</v>
      </c>
      <c r="AB20" s="123" t="s">
        <v>440</v>
      </c>
      <c r="AC20" s="1083" t="s">
        <v>438</v>
      </c>
      <c r="AG20" s="123" t="s">
        <v>441</v>
      </c>
      <c r="AI20" s="123" t="s">
        <v>440</v>
      </c>
      <c r="AQ20" s="1083">
        <v>0</v>
      </c>
    </row>
    <row r="21" spans="1:43" ht="14.25" hidden="1" customHeight="1">
      <c r="O21" s="1287"/>
      <c r="AQ21" s="1078">
        <v>0</v>
      </c>
    </row>
    <row r="22" spans="1:43" ht="14.25" hidden="1" customHeight="1">
      <c r="O22" s="1287"/>
      <c r="AQ22" s="1078">
        <v>0</v>
      </c>
    </row>
    <row r="23" spans="1:43" ht="14.65" customHeight="1">
      <c r="Q23" s="312"/>
      <c r="R23" s="312"/>
      <c r="S23" s="1198"/>
      <c r="T23" s="299"/>
      <c r="U23" s="299"/>
      <c r="V23" s="445"/>
      <c r="W23" s="445"/>
      <c r="X23" s="445"/>
      <c r="Y23" s="445"/>
      <c r="Z23" s="445"/>
      <c r="AA23" s="445"/>
      <c r="AB23" s="445"/>
      <c r="AC23" s="445"/>
      <c r="AD23" s="445"/>
      <c r="AE23" s="445"/>
      <c r="AF23" s="445"/>
      <c r="AG23" s="445"/>
      <c r="AH23" s="445"/>
      <c r="AI23" s="445"/>
      <c r="AQ23" s="1078">
        <v>14</v>
      </c>
    </row>
    <row r="24" spans="1:43" ht="14.65" customHeight="1">
      <c r="Q24" s="312"/>
      <c r="R24" s="312"/>
      <c r="S24" s="249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90"/>
      <c r="U24" s="2490"/>
      <c r="V24" s="2490"/>
      <c r="W24" s="2490"/>
      <c r="X24" s="2490"/>
      <c r="Y24" s="2490"/>
      <c r="Z24" s="2490"/>
      <c r="AA24" s="2490"/>
      <c r="AB24" s="2490"/>
      <c r="AC24" s="2490"/>
      <c r="AD24" s="2490"/>
      <c r="AE24" s="2490"/>
      <c r="AF24" s="2490"/>
      <c r="AG24" s="2490"/>
      <c r="AH24" s="2490"/>
      <c r="AI24" s="1166"/>
      <c r="AQ24" s="1078">
        <v>14</v>
      </c>
    </row>
    <row r="25" spans="1:43" ht="14.65" customHeight="1">
      <c r="Q25" s="312"/>
      <c r="R25" s="312"/>
      <c r="S25" s="2436" t="str">
        <f>IF(org=0,"Не определено",org)</f>
        <v>ПАО "ТГК-2"</v>
      </c>
      <c r="T25" s="2436"/>
      <c r="U25" s="2436"/>
      <c r="V25" s="2436"/>
      <c r="W25" s="2436"/>
      <c r="X25" s="2436"/>
      <c r="Y25" s="2436"/>
      <c r="Z25" s="2436"/>
      <c r="AA25" s="2436"/>
      <c r="AB25" s="2436"/>
      <c r="AC25" s="2436"/>
      <c r="AD25" s="2436"/>
      <c r="AE25" s="2436"/>
      <c r="AF25" s="2436"/>
      <c r="AG25" s="2436"/>
      <c r="AH25" s="2436"/>
      <c r="AI25" s="1166"/>
      <c r="AQ25" s="1078">
        <v>14</v>
      </c>
    </row>
    <row r="26" spans="1:43" ht="14.25" hidden="1" customHeight="1">
      <c r="Q26" s="312"/>
      <c r="R26" s="312"/>
      <c r="S26" s="1198"/>
      <c r="T26" s="299"/>
      <c r="U26" s="299"/>
      <c r="V26" s="259"/>
      <c r="W26" s="259"/>
      <c r="X26" s="259"/>
      <c r="Y26" s="259"/>
      <c r="Z26" s="259"/>
      <c r="AA26" s="259"/>
      <c r="AB26" s="259"/>
      <c r="AC26" s="259"/>
      <c r="AD26" s="259"/>
      <c r="AE26" s="259"/>
      <c r="AF26" s="259"/>
      <c r="AG26" s="259"/>
      <c r="AH26" s="259"/>
      <c r="AI26" s="259"/>
      <c r="AJ26" s="445"/>
      <c r="AQ26" s="1078">
        <v>0</v>
      </c>
    </row>
    <row r="27" spans="1:43" s="1770" customFormat="1" ht="25.5" hidden="1" customHeight="1">
      <c r="A27" s="1291"/>
      <c r="B27" s="1291"/>
      <c r="C27" s="1291"/>
      <c r="D27" s="1291"/>
      <c r="E27" s="1291"/>
      <c r="F27" s="1291"/>
      <c r="G27" s="1291"/>
      <c r="H27" s="1291"/>
      <c r="I27" s="1291"/>
      <c r="J27" s="1291"/>
      <c r="K27" s="1291"/>
      <c r="L27" s="1292"/>
      <c r="M27" s="1291"/>
      <c r="N27" s="1291"/>
      <c r="O27" s="1291"/>
      <c r="S27" s="249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498"/>
      <c r="U27" s="1295"/>
      <c r="V27" s="2499" t="str">
        <f>IF(TITLE_NAME_OR_PR_CHANGE="",IF(TITLE_NAME_OR_PR="","",TITLE_NAME_OR_PR),TITLE_NAME_OR_PR_CHANGE)</f>
        <v/>
      </c>
      <c r="W27" s="2499"/>
      <c r="X27" s="2499"/>
      <c r="Y27" s="2499"/>
      <c r="Z27" s="2499"/>
      <c r="AA27" s="2499"/>
      <c r="AB27" s="263"/>
      <c r="AC27" s="2499" t="str">
        <f>IF(TITLE_NAME_OR_PR_CHANGE="",IF(TITLE_NAME_OR_PR="","",TITLE_NAME_OR_PR),TITLE_NAME_OR_PR_CHANGE)</f>
        <v/>
      </c>
      <c r="AD27" s="2499"/>
      <c r="AE27" s="2499"/>
      <c r="AF27" s="2499"/>
      <c r="AG27" s="2499"/>
      <c r="AH27" s="2499"/>
      <c r="AI27" s="263"/>
      <c r="AJ27" s="263"/>
      <c r="AK27" s="217"/>
      <c r="AL27" s="304"/>
      <c r="AM27" s="304"/>
      <c r="AN27" s="304"/>
      <c r="AO27" s="304"/>
      <c r="AP27" s="304"/>
      <c r="AQ27" s="354">
        <v>0</v>
      </c>
    </row>
    <row r="28" spans="1:43" s="1770" customFormat="1" ht="18.75" hidden="1" customHeight="1">
      <c r="A28" s="1291"/>
      <c r="B28" s="1291"/>
      <c r="C28" s="1291"/>
      <c r="D28" s="1291"/>
      <c r="E28" s="1291"/>
      <c r="F28" s="1291"/>
      <c r="G28" s="1291"/>
      <c r="H28" s="1291"/>
      <c r="I28" s="1291"/>
      <c r="J28" s="1291"/>
      <c r="K28" s="1291"/>
      <c r="L28" s="1292"/>
      <c r="M28" s="1291"/>
      <c r="N28" s="1291"/>
      <c r="O28" s="1291"/>
      <c r="S28" s="2498" t="str">
        <f>"Дата документа об "&amp;IF(TITLE_DATE_PR_CHANGE="","утверждении","изменении")&amp;" тарифов"</f>
        <v>Дата документа об утверждении тарифов</v>
      </c>
      <c r="T28" s="2498"/>
      <c r="U28" s="1295"/>
      <c r="V28" s="2508" t="str">
        <f>IF(TITLE_DATE_PR_CHANGE="",IF(TITLE_DATE_PR="","",TITLE_DATE_PR),TITLE_DATE_PR_CHANGE)</f>
        <v/>
      </c>
      <c r="W28" s="2508"/>
      <c r="X28" s="2508"/>
      <c r="Y28" s="2508"/>
      <c r="Z28" s="2508"/>
      <c r="AA28" s="2508"/>
      <c r="AB28" s="263"/>
      <c r="AC28" s="2508" t="str">
        <f>IF(TITLE_DATE_PR_CHANGE="",IF(TITLE_DATE_PR="","",TITLE_DATE_PR),TITLE_DATE_PR_CHANGE)</f>
        <v/>
      </c>
      <c r="AD28" s="2508"/>
      <c r="AE28" s="2508"/>
      <c r="AF28" s="2508"/>
      <c r="AG28" s="2508"/>
      <c r="AH28" s="2508"/>
      <c r="AI28" s="263"/>
      <c r="AJ28" s="263"/>
      <c r="AK28" s="217"/>
      <c r="AL28" s="304"/>
      <c r="AM28" s="304"/>
      <c r="AN28" s="304"/>
      <c r="AO28" s="304"/>
      <c r="AP28" s="304"/>
      <c r="AQ28" s="354">
        <v>0</v>
      </c>
    </row>
    <row r="29" spans="1:43" s="1770" customFormat="1" ht="18.75" hidden="1" customHeight="1">
      <c r="A29" s="1291"/>
      <c r="B29" s="1291"/>
      <c r="C29" s="1291"/>
      <c r="D29" s="1291"/>
      <c r="E29" s="1291"/>
      <c r="F29" s="1291"/>
      <c r="G29" s="1291"/>
      <c r="H29" s="1291"/>
      <c r="I29" s="1291"/>
      <c r="J29" s="1291"/>
      <c r="K29" s="1291"/>
      <c r="L29" s="1292"/>
      <c r="M29" s="1291"/>
      <c r="N29" s="1291"/>
      <c r="O29" s="1291"/>
      <c r="S29" s="2498" t="str">
        <f>"Номер документа об "&amp;IF(TITLE_DATE_PR_CHANGE="","утверждении","изменении")&amp;" тарифов"</f>
        <v>Номер документа об утверждении тарифов</v>
      </c>
      <c r="T29" s="2498"/>
      <c r="U29" s="1295"/>
      <c r="V29" s="2499" t="str">
        <f>IF(TITLE_NUMBER_PR_CHANGE="",IF(TITLE_NUMBER_PR="","",TITLE_NUMBER_PR),TITLE_NUMBER_PR_CHANGE)</f>
        <v/>
      </c>
      <c r="W29" s="2499"/>
      <c r="X29" s="2499"/>
      <c r="Y29" s="2499"/>
      <c r="Z29" s="2499"/>
      <c r="AA29" s="2499"/>
      <c r="AB29" s="263"/>
      <c r="AC29" s="2499" t="str">
        <f>IF(TITLE_NUMBER_PR_CHANGE="",IF(TITLE_NUMBER_PR="","",TITLE_NUMBER_PR),TITLE_NUMBER_PR_CHANGE)</f>
        <v/>
      </c>
      <c r="AD29" s="2499"/>
      <c r="AE29" s="2499"/>
      <c r="AF29" s="2499"/>
      <c r="AG29" s="2499"/>
      <c r="AH29" s="2499"/>
      <c r="AI29" s="263"/>
      <c r="AJ29" s="263"/>
      <c r="AK29" s="217"/>
      <c r="AL29" s="304"/>
      <c r="AM29" s="304"/>
      <c r="AN29" s="304"/>
      <c r="AO29" s="304"/>
      <c r="AP29" s="304"/>
      <c r="AQ29" s="354">
        <v>0</v>
      </c>
    </row>
    <row r="30" spans="1:43" s="1770" customFormat="1" ht="18.75" hidden="1" customHeight="1">
      <c r="A30" s="1291"/>
      <c r="B30" s="1291"/>
      <c r="C30" s="1291"/>
      <c r="D30" s="1291"/>
      <c r="E30" s="1291"/>
      <c r="F30" s="1291"/>
      <c r="G30" s="1291"/>
      <c r="H30" s="1291"/>
      <c r="I30" s="1291"/>
      <c r="J30" s="1291"/>
      <c r="K30" s="1291"/>
      <c r="L30" s="1292"/>
      <c r="M30" s="1291"/>
      <c r="N30" s="1291"/>
      <c r="O30" s="1291"/>
      <c r="S30" s="2498" t="s">
        <v>43</v>
      </c>
      <c r="T30" s="2498"/>
      <c r="U30" s="1295"/>
      <c r="V30" s="2499" t="str">
        <f>IF(TITLE_IST_PUB_CHANGE="",IF(TITLE_IST_PUB="","",TITLE_IST_PUB),TITLE_IST_PUB_CHANGE)</f>
        <v/>
      </c>
      <c r="W30" s="2499"/>
      <c r="X30" s="2499"/>
      <c r="Y30" s="2499"/>
      <c r="Z30" s="2499"/>
      <c r="AA30" s="2499"/>
      <c r="AB30" s="263"/>
      <c r="AC30" s="2499" t="str">
        <f>IF(TITLE_IST_PUB_CHANGE="",IF(TITLE_IST_PUB="","",TITLE_IST_PUB),TITLE_IST_PUB_CHANGE)</f>
        <v/>
      </c>
      <c r="AD30" s="2499"/>
      <c r="AE30" s="2499"/>
      <c r="AF30" s="2499"/>
      <c r="AG30" s="2499"/>
      <c r="AH30" s="2499"/>
      <c r="AI30" s="263"/>
      <c r="AJ30" s="263"/>
      <c r="AK30" s="217"/>
      <c r="AL30" s="304"/>
      <c r="AM30" s="304"/>
      <c r="AN30" s="304"/>
      <c r="AO30" s="304"/>
      <c r="AP30" s="304"/>
      <c r="AQ30" s="354">
        <v>0</v>
      </c>
    </row>
    <row r="31" spans="1:43" ht="14.25" hidden="1" customHeight="1">
      <c r="Q31" s="312"/>
      <c r="R31" s="312"/>
      <c r="S31" s="1198"/>
      <c r="T31" s="393"/>
      <c r="U31" s="299"/>
      <c r="V31" s="259"/>
      <c r="W31" s="259"/>
      <c r="X31" s="259"/>
      <c r="Y31" s="259"/>
      <c r="Z31" s="259"/>
      <c r="AA31" s="259"/>
      <c r="AB31" s="259"/>
      <c r="AC31" s="259"/>
      <c r="AD31" s="259"/>
      <c r="AE31" s="259"/>
      <c r="AF31" s="259"/>
      <c r="AG31" s="259"/>
      <c r="AH31" s="259"/>
      <c r="AI31" s="259"/>
      <c r="AJ31" s="445"/>
      <c r="AQ31" s="1078">
        <v>0</v>
      </c>
    </row>
    <row r="32" spans="1:43" s="1770" customFormat="1" ht="18.75" hidden="1" customHeight="1">
      <c r="A32" s="1291"/>
      <c r="B32" s="1291"/>
      <c r="C32" s="1291"/>
      <c r="D32" s="1291"/>
      <c r="E32" s="1291"/>
      <c r="F32" s="1291"/>
      <c r="G32" s="1291"/>
      <c r="H32" s="1291"/>
      <c r="I32" s="1291"/>
      <c r="J32" s="1291"/>
      <c r="K32" s="1291"/>
      <c r="L32" s="1292"/>
      <c r="M32" s="1291"/>
      <c r="N32" s="1291"/>
      <c r="O32" s="1291"/>
      <c r="S32" s="2498" t="str">
        <f>"Дата подачи заявления об "&amp;IF(TITLE_DATE_PR_CHANGE="","утверждении","изменении")&amp;" тарифов"</f>
        <v>Дата подачи заявления об утверждении тарифов</v>
      </c>
      <c r="T32" s="2498"/>
      <c r="U32" s="1295"/>
      <c r="V32" s="2508" t="str">
        <f>IF(TITLE_DATE_PR_CHANGE="",IF(TITLE_DATE_PR="","",TITLE_DATE_PR),TITLE_DATE_PR_CHANGE)</f>
        <v/>
      </c>
      <c r="W32" s="2508"/>
      <c r="X32" s="2508"/>
      <c r="Y32" s="2508"/>
      <c r="Z32" s="2508"/>
      <c r="AA32" s="2508"/>
      <c r="AB32" s="263"/>
      <c r="AC32" s="2508" t="str">
        <f>IF(TITLE_DATE_PR_CHANGE="",IF(TITLE_DATE_PR="","",TITLE_DATE_PR),TITLE_DATE_PR_CHANGE)</f>
        <v/>
      </c>
      <c r="AD32" s="2508"/>
      <c r="AE32" s="2508"/>
      <c r="AF32" s="2508"/>
      <c r="AG32" s="2508"/>
      <c r="AH32" s="2508"/>
      <c r="AI32" s="263"/>
      <c r="AJ32" s="263"/>
      <c r="AK32" s="217"/>
      <c r="AL32" s="304"/>
      <c r="AM32" s="304"/>
      <c r="AN32" s="304"/>
      <c r="AO32" s="304"/>
      <c r="AP32" s="304"/>
      <c r="AQ32" s="354">
        <v>0</v>
      </c>
    </row>
    <row r="33" spans="1:43" s="1770" customFormat="1" ht="18.75" hidden="1" customHeight="1">
      <c r="A33" s="1291"/>
      <c r="B33" s="1291"/>
      <c r="C33" s="1291"/>
      <c r="D33" s="1291"/>
      <c r="E33" s="1291"/>
      <c r="F33" s="1291"/>
      <c r="G33" s="1291"/>
      <c r="H33" s="1291"/>
      <c r="I33" s="1291"/>
      <c r="J33" s="1291"/>
      <c r="K33" s="1291"/>
      <c r="L33" s="1292"/>
      <c r="M33" s="1291"/>
      <c r="N33" s="1291"/>
      <c r="O33" s="1291"/>
      <c r="S33" s="2498" t="str">
        <f>"Номер подачи заявления об "&amp;IF(TITLE_DATE_PR_CHANGE="","утверждении","изменении")&amp;" тарифов"</f>
        <v>Номер подачи заявления об утверждении тарифов</v>
      </c>
      <c r="T33" s="2498"/>
      <c r="U33" s="1295"/>
      <c r="V33" s="2499" t="str">
        <f>IF(TITLE_NUMBER_PR_CHANGE="",IF(TITLE_NUMBER_PR="","",TITLE_NUMBER_PR),TITLE_NUMBER_PR_CHANGE)</f>
        <v/>
      </c>
      <c r="W33" s="2499"/>
      <c r="X33" s="2499"/>
      <c r="Y33" s="2499"/>
      <c r="Z33" s="2499"/>
      <c r="AA33" s="2499"/>
      <c r="AB33" s="263"/>
      <c r="AC33" s="2499" t="str">
        <f>IF(TITLE_NUMBER_PR_CHANGE="",IF(TITLE_NUMBER_PR="","",TITLE_NUMBER_PR),TITLE_NUMBER_PR_CHANGE)</f>
        <v/>
      </c>
      <c r="AD33" s="2499"/>
      <c r="AE33" s="2499"/>
      <c r="AF33" s="2499"/>
      <c r="AG33" s="2499"/>
      <c r="AH33" s="2499"/>
      <c r="AI33" s="263"/>
      <c r="AJ33" s="263"/>
      <c r="AK33" s="217"/>
      <c r="AL33" s="304"/>
      <c r="AM33" s="304"/>
      <c r="AN33" s="304"/>
      <c r="AO33" s="304"/>
      <c r="AP33" s="304"/>
      <c r="AQ33" s="354">
        <v>0</v>
      </c>
    </row>
    <row r="34" spans="1:43" s="1770" customFormat="1" ht="1.1499999999999999" customHeight="1">
      <c r="A34" s="1291"/>
      <c r="B34" s="1291"/>
      <c r="C34" s="1291"/>
      <c r="D34" s="1291"/>
      <c r="E34" s="1291"/>
      <c r="F34" s="1291"/>
      <c r="G34" s="1291"/>
      <c r="H34" s="1291"/>
      <c r="I34" s="1291"/>
      <c r="J34" s="1291"/>
      <c r="K34" s="1291"/>
      <c r="L34" s="1292"/>
      <c r="M34" s="1291"/>
      <c r="N34" s="1291"/>
      <c r="O34" s="1291"/>
      <c r="S34" s="260"/>
      <c r="T34" s="260"/>
      <c r="U34" s="1377"/>
      <c r="V34" s="263"/>
      <c r="W34" s="263"/>
      <c r="X34" s="263"/>
      <c r="Y34" s="263"/>
      <c r="Z34" s="263"/>
      <c r="AA34" s="263"/>
      <c r="AB34" s="215" t="s">
        <v>442</v>
      </c>
      <c r="AC34" s="263"/>
      <c r="AD34" s="263"/>
      <c r="AE34" s="263"/>
      <c r="AF34" s="263"/>
      <c r="AG34" s="263"/>
      <c r="AH34" s="263"/>
      <c r="AI34" s="215" t="s">
        <v>442</v>
      </c>
      <c r="AL34" s="304"/>
      <c r="AM34" s="304"/>
      <c r="AN34" s="304"/>
      <c r="AO34" s="304"/>
      <c r="AP34" s="304"/>
      <c r="AQ34" s="354">
        <v>1</v>
      </c>
    </row>
    <row r="35" spans="1:43" ht="14.65" customHeight="1">
      <c r="Q35" s="312"/>
      <c r="R35" s="312"/>
      <c r="S35" s="1198"/>
      <c r="T35" s="299"/>
      <c r="U35" s="1167"/>
      <c r="V35" s="2500"/>
      <c r="W35" s="2500"/>
      <c r="X35" s="2500"/>
      <c r="Y35" s="2500"/>
      <c r="Z35" s="2500"/>
      <c r="AA35" s="2500"/>
      <c r="AB35" s="2500"/>
      <c r="AC35" s="2500"/>
      <c r="AD35" s="2500"/>
      <c r="AE35" s="2500"/>
      <c r="AF35" s="2500"/>
      <c r="AG35" s="2500"/>
      <c r="AH35" s="2500"/>
      <c r="AI35" s="2500"/>
      <c r="AQ35" s="1078">
        <v>14</v>
      </c>
    </row>
    <row r="36" spans="1:43" ht="14.65" customHeight="1">
      <c r="Q36" s="312"/>
      <c r="R36" s="312"/>
      <c r="S36" s="2371" t="s">
        <v>319</v>
      </c>
      <c r="T36" s="2371"/>
      <c r="U36" s="2371"/>
      <c r="V36" s="2371"/>
      <c r="W36" s="2371"/>
      <c r="X36" s="2371"/>
      <c r="Y36" s="2371"/>
      <c r="Z36" s="2371"/>
      <c r="AA36" s="2371"/>
      <c r="AB36" s="2371"/>
      <c r="AC36" s="2371"/>
      <c r="AD36" s="2371"/>
      <c r="AE36" s="2371"/>
      <c r="AF36" s="2371"/>
      <c r="AG36" s="2371"/>
      <c r="AH36" s="2371"/>
      <c r="AI36" s="2371"/>
      <c r="AJ36" s="2371"/>
      <c r="AK36" s="2371" t="s">
        <v>320</v>
      </c>
      <c r="AQ36" s="1078">
        <v>14</v>
      </c>
    </row>
    <row r="37" spans="1:43" ht="14.65" customHeight="1">
      <c r="Q37" s="312"/>
      <c r="R37" s="312"/>
      <c r="S37" s="2514" t="s">
        <v>89</v>
      </c>
      <c r="T37" s="2466" t="s">
        <v>443</v>
      </c>
      <c r="U37" s="238"/>
      <c r="V37" s="2515" t="s">
        <v>444</v>
      </c>
      <c r="W37" s="2516"/>
      <c r="X37" s="2516"/>
      <c r="Y37" s="2516"/>
      <c r="Z37" s="2516"/>
      <c r="AA37" s="2517"/>
      <c r="AB37" s="2518" t="s">
        <v>445</v>
      </c>
      <c r="AC37" s="2515" t="s">
        <v>444</v>
      </c>
      <c r="AD37" s="2516"/>
      <c r="AE37" s="2516"/>
      <c r="AF37" s="2516"/>
      <c r="AG37" s="2516"/>
      <c r="AH37" s="2517"/>
      <c r="AI37" s="2518" t="s">
        <v>446</v>
      </c>
      <c r="AJ37" s="2521" t="s">
        <v>447</v>
      </c>
      <c r="AK37" s="2371"/>
      <c r="AQ37" s="1078">
        <v>14</v>
      </c>
    </row>
    <row r="38" spans="1:43" ht="35.65" customHeight="1">
      <c r="Q38" s="312"/>
      <c r="R38" s="312"/>
      <c r="S38" s="2514"/>
      <c r="T38" s="2466"/>
      <c r="U38" s="958"/>
      <c r="V38" s="1375" t="s">
        <v>506</v>
      </c>
      <c r="W38" s="2350" t="s">
        <v>450</v>
      </c>
      <c r="X38" s="2349"/>
      <c r="Y38" s="2350" t="s">
        <v>451</v>
      </c>
      <c r="Z38" s="2356"/>
      <c r="AA38" s="2349"/>
      <c r="AB38" s="2519"/>
      <c r="AC38" s="1375" t="s">
        <v>506</v>
      </c>
      <c r="AD38" s="2350" t="s">
        <v>450</v>
      </c>
      <c r="AE38" s="2349"/>
      <c r="AF38" s="2350" t="s">
        <v>451</v>
      </c>
      <c r="AG38" s="2356"/>
      <c r="AH38" s="2349"/>
      <c r="AI38" s="2519"/>
      <c r="AJ38" s="2522"/>
      <c r="AK38" s="2371"/>
      <c r="AQ38" s="1078">
        <v>34</v>
      </c>
    </row>
    <row r="39" spans="1:43" ht="35.65" customHeight="1">
      <c r="A39" s="1293"/>
      <c r="B39" s="1293" t="s">
        <v>156</v>
      </c>
      <c r="C39" s="1293" t="s">
        <v>157</v>
      </c>
      <c r="D39" s="1293" t="s">
        <v>158</v>
      </c>
      <c r="E39" s="1287" t="s">
        <v>452</v>
      </c>
      <c r="F39" s="1287" t="s">
        <v>453</v>
      </c>
      <c r="G39" s="1287" t="s">
        <v>454</v>
      </c>
      <c r="H39" s="1287"/>
      <c r="I39" s="1287" t="s">
        <v>507</v>
      </c>
      <c r="J39" s="1287" t="s">
        <v>457</v>
      </c>
      <c r="K39" s="1287" t="s">
        <v>508</v>
      </c>
      <c r="L39" s="1287" t="s">
        <v>437</v>
      </c>
      <c r="Q39" s="312"/>
      <c r="R39" s="312"/>
      <c r="S39" s="2514"/>
      <c r="T39" s="2466"/>
      <c r="U39" s="239"/>
      <c r="V39" s="1375" t="s">
        <v>509</v>
      </c>
      <c r="W39" s="1145" t="s">
        <v>510</v>
      </c>
      <c r="X39" s="1145" t="s">
        <v>511</v>
      </c>
      <c r="Y39" s="1378" t="s">
        <v>461</v>
      </c>
      <c r="Z39" s="2474" t="s">
        <v>462</v>
      </c>
      <c r="AA39" s="2476"/>
      <c r="AB39" s="2520"/>
      <c r="AC39" s="1375" t="s">
        <v>509</v>
      </c>
      <c r="AD39" s="1145" t="s">
        <v>510</v>
      </c>
      <c r="AE39" s="1145" t="s">
        <v>511</v>
      </c>
      <c r="AF39" s="1378" t="s">
        <v>461</v>
      </c>
      <c r="AG39" s="2474" t="s">
        <v>462</v>
      </c>
      <c r="AH39" s="2476"/>
      <c r="AI39" s="2520"/>
      <c r="AJ39" s="2523"/>
      <c r="AK39" s="2371"/>
      <c r="AQ39" s="1078">
        <v>34</v>
      </c>
    </row>
    <row r="40" spans="1:43" s="1564" customFormat="1" ht="0" hidden="1" customHeight="1">
      <c r="A40" s="1293"/>
      <c r="B40" s="1293"/>
      <c r="C40" s="1293"/>
      <c r="D40" s="1293"/>
      <c r="E40" s="1293"/>
      <c r="F40" s="1293"/>
      <c r="G40" s="1293"/>
      <c r="H40" s="1293"/>
      <c r="I40" s="1293"/>
      <c r="J40" s="1293"/>
      <c r="K40" s="1293"/>
      <c r="L40" s="1287"/>
      <c r="M40" s="1285"/>
      <c r="N40" s="1285"/>
      <c r="O40" s="1285"/>
      <c r="P40" s="1169"/>
      <c r="Q40" s="1170"/>
      <c r="R40" s="1177">
        <v>1</v>
      </c>
      <c r="S40" s="1200" t="s">
        <v>100</v>
      </c>
      <c r="T40" s="1178" t="s">
        <v>103</v>
      </c>
      <c r="U40" s="1168" t="str">
        <f ca="1">OFFSET(U40,0,-1)</f>
        <v>2</v>
      </c>
      <c r="V40" s="1374">
        <f ca="1">OFFSET(V40,0,-1)+1</f>
        <v>3</v>
      </c>
      <c r="W40" s="1374">
        <f ca="1">OFFSET(W40,0,-1)+1</f>
        <v>4</v>
      </c>
      <c r="X40" s="1374">
        <f ca="1">OFFSET(X40,0,-1)+1</f>
        <v>5</v>
      </c>
      <c r="Y40" s="1374">
        <f ca="1">OFFSET(Y40,0,-1)+1</f>
        <v>6</v>
      </c>
      <c r="Z40" s="2513">
        <f ca="1">OFFSET(Z40,0,-1)+1</f>
        <v>7</v>
      </c>
      <c r="AA40" s="2513"/>
      <c r="AB40" s="1374">
        <f ca="1">OFFSET(AB40,0,-2)+1</f>
        <v>8</v>
      </c>
      <c r="AC40" s="1374">
        <f ca="1">OFFSET(AC40,0,-1)+1</f>
        <v>9</v>
      </c>
      <c r="AD40" s="1374">
        <f ca="1">OFFSET(AD40,0,-1)+1</f>
        <v>10</v>
      </c>
      <c r="AE40" s="1374">
        <f ca="1">OFFSET(AE40,0,-1)+1</f>
        <v>11</v>
      </c>
      <c r="AF40" s="1374">
        <f ca="1">OFFSET(AF40,0,-1)+1</f>
        <v>12</v>
      </c>
      <c r="AG40" s="2513">
        <f ca="1">OFFSET(AG40,0,-1)+1</f>
        <v>13</v>
      </c>
      <c r="AH40" s="2513"/>
      <c r="AI40" s="1374">
        <f ca="1">OFFSET(AI40,0,-2)+1</f>
        <v>14</v>
      </c>
      <c r="AJ40" s="1168">
        <f ca="1">OFFSET(AJ40,0,-1)</f>
        <v>14</v>
      </c>
      <c r="AK40" s="1374">
        <f ca="1">OFFSET(AK40,0,-1)+1</f>
        <v>15</v>
      </c>
      <c r="AL40" s="447"/>
      <c r="AM40" s="447"/>
      <c r="AN40" s="447"/>
      <c r="AO40" s="447"/>
      <c r="AP40" s="447"/>
      <c r="AQ40" s="432">
        <v>0</v>
      </c>
    </row>
    <row r="41" spans="1:43" ht="24" customHeight="1">
      <c r="A41" s="1286" t="s">
        <v>260</v>
      </c>
      <c r="B41" s="1286"/>
      <c r="C41" s="1286"/>
      <c r="D41" s="1286"/>
      <c r="E41" s="2506">
        <v>1</v>
      </c>
      <c r="F41" s="1286"/>
      <c r="G41" s="1286"/>
      <c r="H41" s="1286"/>
      <c r="I41" s="1286"/>
      <c r="J41" s="1286"/>
      <c r="K41" s="1286"/>
      <c r="L41" s="1287"/>
      <c r="M41" s="1288"/>
      <c r="N41" s="1288"/>
      <c r="O41" s="1288"/>
      <c r="P41" s="297"/>
      <c r="Q41" s="296"/>
      <c r="R41" s="291"/>
      <c r="S41" s="1380">
        <f>INDEX(PT_DIFFERENTIATION_NUM_NTAR,MATCH(A41,PT_DIFFERENTIATION_NTAR_ID,0))</f>
        <v>0</v>
      </c>
      <c r="T41" s="235" t="s">
        <v>144</v>
      </c>
      <c r="U41" s="237"/>
      <c r="V41" s="2492"/>
      <c r="W41" s="2493"/>
      <c r="X41" s="2493"/>
      <c r="Y41" s="2493"/>
      <c r="Z41" s="2493"/>
      <c r="AA41" s="2493"/>
      <c r="AB41" s="2494"/>
      <c r="AC41" s="2492" t="str">
        <f>INDEX(PT_DIFFERENTIATION_NTAR,MATCH(A41,PT_DIFFERENTIATION_NTAR_ID,0))</f>
        <v/>
      </c>
      <c r="AD41" s="2493"/>
      <c r="AE41" s="2493"/>
      <c r="AF41" s="2493"/>
      <c r="AG41" s="2493"/>
      <c r="AH41" s="2493"/>
      <c r="AI41" s="2493"/>
      <c r="AJ41" s="2494"/>
      <c r="AK41"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8">
        <v>23</v>
      </c>
    </row>
    <row r="42" spans="1:43" ht="24" customHeight="1">
      <c r="A42" s="1286" t="s">
        <v>260</v>
      </c>
      <c r="B42" s="1286" t="s">
        <v>261</v>
      </c>
      <c r="C42" s="1286"/>
      <c r="D42" s="1286"/>
      <c r="E42" s="2507"/>
      <c r="F42" s="2506">
        <v>1</v>
      </c>
      <c r="G42" s="1286"/>
      <c r="H42" s="1286"/>
      <c r="I42" s="1286"/>
      <c r="J42" s="1286"/>
      <c r="K42" s="1286"/>
      <c r="L42" s="1287"/>
      <c r="M42" s="1288"/>
      <c r="N42" s="1288"/>
      <c r="O42" s="1288"/>
      <c r="P42" s="1376"/>
      <c r="Q42" s="288"/>
      <c r="R42" s="289"/>
      <c r="S42" s="1380" t="str">
        <f>INDEX(PT_DIFFERENTIATION_NUM_TER,MATCH(B42,PT_DIFFERENTIATION_TER_ID,0))</f>
        <v>.</v>
      </c>
      <c r="T42" s="245" t="s">
        <v>416</v>
      </c>
      <c r="U42" s="237"/>
      <c r="V42" s="2492"/>
      <c r="W42" s="2493"/>
      <c r="X42" s="2493"/>
      <c r="Y42" s="2493"/>
      <c r="Z42" s="2493"/>
      <c r="AA42" s="2493"/>
      <c r="AB42" s="2494"/>
      <c r="AC42" s="2492" t="str">
        <f>INDEX(PT_DIFFERENTIATION_TER,MATCH(B42,PT_DIFFERENTIATION_TER_ID,0))</f>
        <v/>
      </c>
      <c r="AD42" s="2493"/>
      <c r="AE42" s="2493"/>
      <c r="AF42" s="2493"/>
      <c r="AG42" s="2493"/>
      <c r="AH42" s="2493"/>
      <c r="AI42" s="2493"/>
      <c r="AJ42" s="2494"/>
      <c r="AK42" s="1181" t="s">
        <v>417</v>
      </c>
      <c r="AM42" s="436"/>
      <c r="AN42" s="436" t="str">
        <f t="shared" si="1"/>
        <v>Территория действия тарифа</v>
      </c>
      <c r="AO42" s="436"/>
      <c r="AP42" s="436"/>
      <c r="AQ42" s="1078">
        <v>23</v>
      </c>
    </row>
    <row r="43" spans="1:43" ht="24" customHeight="1">
      <c r="A43" s="1286" t="s">
        <v>260</v>
      </c>
      <c r="B43" s="1286" t="s">
        <v>261</v>
      </c>
      <c r="C43" s="1286" t="s">
        <v>262</v>
      </c>
      <c r="D43" s="1286"/>
      <c r="E43" s="2507"/>
      <c r="F43" s="2507"/>
      <c r="G43" s="2506">
        <v>1</v>
      </c>
      <c r="H43" s="1286"/>
      <c r="I43" s="1286"/>
      <c r="J43" s="1286"/>
      <c r="K43" s="1286"/>
      <c r="L43" s="1287"/>
      <c r="M43" s="1288"/>
      <c r="N43" s="1288"/>
      <c r="O43" s="1288"/>
      <c r="P43" s="290"/>
      <c r="Q43" s="288"/>
      <c r="R43" s="289"/>
      <c r="S43" s="1380" t="str">
        <f>INDEX(PT_DIFFERENTIATION_NUM_CS,MATCH(C43,PT_DIFFERENTIATION_CS_ID,0))</f>
        <v>..</v>
      </c>
      <c r="T43" s="246" t="s">
        <v>498</v>
      </c>
      <c r="U43" s="237"/>
      <c r="V43" s="2492"/>
      <c r="W43" s="2493"/>
      <c r="X43" s="2493"/>
      <c r="Y43" s="2493"/>
      <c r="Z43" s="2493"/>
      <c r="AA43" s="2493"/>
      <c r="AB43" s="2494"/>
      <c r="AC43" s="2492" t="str">
        <f>INDEX(PT_DIFFERENTIATION_CS,MATCH(C43,PT_DIFFERENTIATION_CS_ID,0))</f>
        <v/>
      </c>
      <c r="AD43" s="2493"/>
      <c r="AE43" s="2493"/>
      <c r="AF43" s="2493"/>
      <c r="AG43" s="2493"/>
      <c r="AH43" s="2493"/>
      <c r="AI43" s="2493"/>
      <c r="AJ43" s="2494"/>
      <c r="AK43" s="1181" t="s">
        <v>499</v>
      </c>
      <c r="AM43" s="436"/>
      <c r="AN43" s="436" t="str">
        <f t="shared" si="1"/>
        <v>Наименование централизованной системы холодного водоснабжения</v>
      </c>
      <c r="AO43" s="436"/>
      <c r="AP43" s="436"/>
      <c r="AQ43" s="1078">
        <v>23</v>
      </c>
    </row>
    <row r="44" spans="1:43" ht="24" customHeight="1">
      <c r="A44" s="1286" t="s">
        <v>260</v>
      </c>
      <c r="B44" s="1286" t="s">
        <v>261</v>
      </c>
      <c r="C44" s="1286" t="s">
        <v>262</v>
      </c>
      <c r="D44" s="1286" t="s">
        <v>515</v>
      </c>
      <c r="E44" s="2507"/>
      <c r="F44" s="2507"/>
      <c r="G44" s="2507"/>
      <c r="H44" s="2507"/>
      <c r="I44" s="2504" t="str">
        <f>S43&amp;".1"</f>
        <v>...1</v>
      </c>
      <c r="J44" s="1286"/>
      <c r="K44" s="1286"/>
      <c r="L44" s="1287"/>
      <c r="P44" s="2505">
        <v>1</v>
      </c>
      <c r="Q44" s="1373"/>
      <c r="R44" s="292"/>
      <c r="S44" s="1380" t="str">
        <f>$I44</f>
        <v>...1</v>
      </c>
      <c r="T44" s="222" t="s">
        <v>500</v>
      </c>
      <c r="U44" s="237"/>
      <c r="V44" s="2576"/>
      <c r="W44" s="2577"/>
      <c r="X44" s="2577"/>
      <c r="Y44" s="2577"/>
      <c r="Z44" s="2577"/>
      <c r="AA44" s="2577"/>
      <c r="AB44" s="2578"/>
      <c r="AC44" s="2579"/>
      <c r="AD44" s="2580"/>
      <c r="AE44" s="2580"/>
      <c r="AF44" s="2580"/>
      <c r="AG44" s="2580"/>
      <c r="AH44" s="2580"/>
      <c r="AI44" s="2580"/>
      <c r="AJ44" s="2581"/>
      <c r="AK44" s="1181" t="s">
        <v>501</v>
      </c>
      <c r="AM44" s="436"/>
      <c r="AN44" s="436" t="str">
        <f t="shared" si="1"/>
        <v>Наименование признака дифференциации</v>
      </c>
      <c r="AO44" s="436"/>
      <c r="AP44" s="436"/>
      <c r="AQ44" s="1078">
        <v>23</v>
      </c>
    </row>
    <row r="45" spans="1:43" ht="24" customHeight="1">
      <c r="A45" s="1286" t="s">
        <v>260</v>
      </c>
      <c r="B45" s="1286" t="s">
        <v>261</v>
      </c>
      <c r="C45" s="1286" t="s">
        <v>262</v>
      </c>
      <c r="D45" s="1286" t="s">
        <v>515</v>
      </c>
      <c r="E45" s="2507"/>
      <c r="F45" s="2507"/>
      <c r="G45" s="2507"/>
      <c r="H45" s="2507"/>
      <c r="I45" s="2527"/>
      <c r="J45" s="2504" t="str">
        <f>I44&amp;".1"</f>
        <v>...1.1</v>
      </c>
      <c r="K45" s="1286"/>
      <c r="L45" s="1287" t="s">
        <v>425</v>
      </c>
      <c r="P45" s="2505"/>
      <c r="Q45" s="2505">
        <v>1</v>
      </c>
      <c r="R45" s="293"/>
      <c r="S45" s="1380" t="str">
        <f>$J45</f>
        <v>...1.1</v>
      </c>
      <c r="T45" s="223" t="s">
        <v>426</v>
      </c>
      <c r="U45" s="237"/>
      <c r="V45" s="2495"/>
      <c r="W45" s="2496"/>
      <c r="X45" s="2496"/>
      <c r="Y45" s="2496"/>
      <c r="Z45" s="2496"/>
      <c r="AA45" s="2496"/>
      <c r="AB45" s="2497"/>
      <c r="AC45" s="2495"/>
      <c r="AD45" s="2496"/>
      <c r="AE45" s="2496"/>
      <c r="AF45" s="2496"/>
      <c r="AG45" s="2496"/>
      <c r="AH45" s="2496"/>
      <c r="AI45" s="2496"/>
      <c r="AJ45" s="2497"/>
      <c r="AK45" s="1230" t="s">
        <v>502</v>
      </c>
      <c r="AM45" s="436"/>
      <c r="AN45" s="436" t="str">
        <f t="shared" si="1"/>
        <v>Группа потребителей</v>
      </c>
      <c r="AO45" s="436"/>
      <c r="AP45" s="436"/>
      <c r="AQ45" s="1078">
        <v>23</v>
      </c>
    </row>
    <row r="46" spans="1:43" ht="24" customHeight="1">
      <c r="A46" s="1286" t="s">
        <v>260</v>
      </c>
      <c r="B46" s="1286" t="s">
        <v>261</v>
      </c>
      <c r="C46" s="1286" t="s">
        <v>262</v>
      </c>
      <c r="D46" s="1286" t="s">
        <v>515</v>
      </c>
      <c r="E46" s="2507"/>
      <c r="F46" s="2507"/>
      <c r="G46" s="2507"/>
      <c r="H46" s="2507"/>
      <c r="I46" s="2527"/>
      <c r="J46" s="2527"/>
      <c r="K46" s="2504" t="str">
        <f>J45&amp;".1"</f>
        <v>...1.1.1</v>
      </c>
      <c r="L46" s="1287"/>
      <c r="P46" s="2505"/>
      <c r="Q46" s="2505"/>
      <c r="R46" s="293">
        <v>1</v>
      </c>
      <c r="S46" s="1380" t="str">
        <f>$K46</f>
        <v>...1.1.1</v>
      </c>
      <c r="T46" s="1360"/>
      <c r="U46" s="237"/>
      <c r="V46" s="686"/>
      <c r="W46" s="686"/>
      <c r="X46" s="1180"/>
      <c r="Y46" s="2509"/>
      <c r="Z46" s="2360" t="s">
        <v>63</v>
      </c>
      <c r="AA46" s="2509"/>
      <c r="AB46" s="2360" t="s">
        <v>63</v>
      </c>
      <c r="AC46" s="686"/>
      <c r="AD46" s="686"/>
      <c r="AE46" s="1180"/>
      <c r="AF46" s="2509"/>
      <c r="AG46" s="2360" t="s">
        <v>63</v>
      </c>
      <c r="AH46" s="2528"/>
      <c r="AI46" s="2360" t="s">
        <v>63</v>
      </c>
      <c r="AJ46" s="1361"/>
      <c r="AK46" s="257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8">
        <v>23</v>
      </c>
    </row>
    <row r="47" spans="1:43" ht="0" hidden="1" customHeight="1">
      <c r="A47" s="1286" t="s">
        <v>260</v>
      </c>
      <c r="B47" s="1286" t="s">
        <v>261</v>
      </c>
      <c r="C47" s="1286" t="s">
        <v>262</v>
      </c>
      <c r="D47" s="1286" t="s">
        <v>515</v>
      </c>
      <c r="E47" s="2507"/>
      <c r="F47" s="2507"/>
      <c r="G47" s="2507"/>
      <c r="H47" s="2507"/>
      <c r="I47" s="2527"/>
      <c r="J47" s="2527"/>
      <c r="K47" s="2504"/>
      <c r="L47" s="1287"/>
      <c r="P47" s="2505"/>
      <c r="Q47" s="2505"/>
      <c r="R47" s="293"/>
      <c r="S47" s="1379"/>
      <c r="T47" s="237"/>
      <c r="U47" s="237"/>
      <c r="V47" s="262"/>
      <c r="W47" s="262"/>
      <c r="X47" s="265" t="str">
        <f>Y46&amp;"-"&amp;AA46</f>
        <v>-</v>
      </c>
      <c r="Y47" s="2510"/>
      <c r="Z47" s="2360"/>
      <c r="AA47" s="2510"/>
      <c r="AB47" s="2360"/>
      <c r="AC47" s="262"/>
      <c r="AD47" s="262"/>
      <c r="AE47" s="265" t="str">
        <f>AF46&amp;"-"&amp;AH46</f>
        <v>-</v>
      </c>
      <c r="AF47" s="2510"/>
      <c r="AG47" s="2360"/>
      <c r="AH47" s="2529"/>
      <c r="AI47" s="2360"/>
      <c r="AJ47" s="1362"/>
      <c r="AK47" s="2575"/>
      <c r="AM47" s="436"/>
      <c r="AN47" s="436" t="str">
        <f t="shared" si="1"/>
        <v/>
      </c>
      <c r="AO47" s="436"/>
      <c r="AP47" s="436"/>
      <c r="AQ47" s="1078">
        <v>0</v>
      </c>
    </row>
    <row r="48" spans="1:43" ht="21" customHeight="1">
      <c r="A48" s="1286" t="s">
        <v>260</v>
      </c>
      <c r="B48" s="1286" t="s">
        <v>261</v>
      </c>
      <c r="C48" s="1286" t="s">
        <v>262</v>
      </c>
      <c r="D48" s="1286" t="s">
        <v>515</v>
      </c>
      <c r="E48" s="2507"/>
      <c r="F48" s="2507"/>
      <c r="G48" s="2507"/>
      <c r="H48" s="2507"/>
      <c r="I48" s="2527"/>
      <c r="J48" s="2504"/>
      <c r="K48" s="1286"/>
      <c r="L48" s="1287"/>
      <c r="P48" s="2505"/>
      <c r="Q48" s="2505"/>
      <c r="R48" s="292"/>
      <c r="S48" s="1201"/>
      <c r="T48" s="224" t="s">
        <v>503</v>
      </c>
      <c r="U48" s="303"/>
      <c r="V48" s="303"/>
      <c r="W48" s="303"/>
      <c r="X48" s="303"/>
      <c r="Y48" s="303"/>
      <c r="Z48" s="303"/>
      <c r="AA48" s="303"/>
      <c r="AB48" s="303"/>
      <c r="AC48" s="303"/>
      <c r="AD48" s="303"/>
      <c r="AE48" s="303"/>
      <c r="AF48" s="303"/>
      <c r="AG48" s="303"/>
      <c r="AH48" s="303"/>
      <c r="AI48" s="303"/>
      <c r="AJ48" s="303"/>
      <c r="AK48" s="1181" t="s">
        <v>504</v>
      </c>
      <c r="AM48" s="436"/>
      <c r="AN48" s="436" t="str">
        <f t="shared" si="1"/>
        <v>Добавить значение признака дифференциации</v>
      </c>
      <c r="AO48" s="436"/>
      <c r="AP48" s="436"/>
      <c r="AQ48" s="1078">
        <v>20</v>
      </c>
    </row>
    <row r="49" spans="1:43" ht="21.95" customHeight="1">
      <c r="A49" s="1286" t="s">
        <v>260</v>
      </c>
      <c r="B49" s="1286" t="s">
        <v>261</v>
      </c>
      <c r="C49" s="1286" t="s">
        <v>262</v>
      </c>
      <c r="D49" s="1286" t="s">
        <v>515</v>
      </c>
      <c r="E49" s="2507"/>
      <c r="F49" s="2507"/>
      <c r="G49" s="2507"/>
      <c r="H49" s="2507"/>
      <c r="I49" s="2504"/>
      <c r="J49" s="1286"/>
      <c r="K49" s="1286"/>
      <c r="L49" s="1287"/>
      <c r="P49" s="2505"/>
      <c r="Q49" s="1373"/>
      <c r="R49" s="292"/>
      <c r="S49" s="1201"/>
      <c r="T49" s="301" t="s">
        <v>431</v>
      </c>
      <c r="U49" s="303"/>
      <c r="V49" s="303"/>
      <c r="W49" s="303"/>
      <c r="X49" s="303"/>
      <c r="Y49" s="303"/>
      <c r="Z49" s="303"/>
      <c r="AA49" s="303"/>
      <c r="AB49" s="302"/>
      <c r="AC49" s="303"/>
      <c r="AD49" s="303"/>
      <c r="AE49" s="303"/>
      <c r="AF49" s="303"/>
      <c r="AG49" s="303"/>
      <c r="AH49" s="303"/>
      <c r="AI49" s="302"/>
      <c r="AJ49" s="303"/>
      <c r="AK49" s="1363"/>
      <c r="AM49" s="436"/>
      <c r="AN49" s="436" t="str">
        <f t="shared" si="1"/>
        <v>Добавить группу потребителей</v>
      </c>
      <c r="AO49" s="436"/>
      <c r="AP49" s="436"/>
      <c r="AQ49" s="1078">
        <v>21</v>
      </c>
    </row>
    <row r="50" spans="1:43" ht="21.95" customHeight="1">
      <c r="A50" s="1286" t="s">
        <v>260</v>
      </c>
      <c r="B50" s="1286" t="s">
        <v>261</v>
      </c>
      <c r="C50" s="1286" t="s">
        <v>262</v>
      </c>
      <c r="D50" s="1286" t="s">
        <v>515</v>
      </c>
      <c r="E50" s="2507"/>
      <c r="F50" s="2507"/>
      <c r="G50" s="2507"/>
      <c r="H50" s="2506"/>
      <c r="I50" s="1286"/>
      <c r="J50" s="1286"/>
      <c r="K50" s="1286"/>
      <c r="L50" s="1287"/>
      <c r="M50" s="1288"/>
      <c r="N50" s="1288"/>
      <c r="O50" s="473"/>
      <c r="P50" s="296"/>
      <c r="Q50" s="311"/>
      <c r="R50" s="291"/>
      <c r="S50" s="1201"/>
      <c r="T50" s="308" t="s">
        <v>505</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8">
        <v>21</v>
      </c>
    </row>
    <row r="51" spans="1:43" s="1565" customFormat="1" ht="0" hidden="1" customHeight="1">
      <c r="A51" s="1266" t="s">
        <v>260</v>
      </c>
      <c r="B51" s="1266" t="s">
        <v>261</v>
      </c>
      <c r="C51" s="1237"/>
      <c r="D51" s="1237"/>
      <c r="E51" s="2507"/>
      <c r="F51" s="2506"/>
      <c r="G51" s="1237"/>
      <c r="H51" s="1237"/>
      <c r="I51" s="1237"/>
      <c r="J51" s="1237"/>
      <c r="K51" s="1237"/>
      <c r="L51" s="1381"/>
      <c r="M51" s="1244"/>
      <c r="N51" s="1244"/>
      <c r="P51" s="1239"/>
      <c r="Q51" s="1240"/>
      <c r="R51" s="1239"/>
      <c r="S51" s="1245"/>
      <c r="T51" s="1248" t="s">
        <v>434</v>
      </c>
      <c r="U51" s="1247"/>
      <c r="V51" s="1247"/>
      <c r="W51" s="1247"/>
      <c r="X51" s="1247"/>
      <c r="Y51" s="1247"/>
      <c r="Z51" s="1247"/>
      <c r="AA51" s="1247"/>
      <c r="AB51" s="1247"/>
      <c r="AC51" s="1247"/>
      <c r="AD51" s="1247"/>
      <c r="AE51" s="1247"/>
      <c r="AF51" s="1247"/>
      <c r="AG51" s="1247"/>
      <c r="AH51" s="1247"/>
      <c r="AI51" s="1247"/>
      <c r="AJ51" s="1247"/>
      <c r="AK51" s="1247"/>
      <c r="AM51" s="718"/>
      <c r="AN51" s="718" t="str">
        <f t="shared" si="1"/>
        <v>Добавить централизованную систему для дифференциации</v>
      </c>
      <c r="AO51" s="718"/>
      <c r="AP51" s="718"/>
      <c r="AQ51" s="454">
        <v>0</v>
      </c>
    </row>
    <row r="52" spans="1:43" s="1565" customFormat="1" ht="0" hidden="1" customHeight="1">
      <c r="A52" s="1266" t="s">
        <v>260</v>
      </c>
      <c r="B52" s="1266"/>
      <c r="C52" s="1266"/>
      <c r="D52" s="1266"/>
      <c r="E52" s="2506"/>
      <c r="F52" s="1266"/>
      <c r="G52" s="1266"/>
      <c r="H52" s="1266"/>
      <c r="I52" s="1266"/>
      <c r="J52" s="1266"/>
      <c r="K52" s="1266"/>
      <c r="L52" s="1269"/>
      <c r="M52" s="1244"/>
      <c r="N52" s="1244"/>
      <c r="O52" s="454"/>
      <c r="P52" s="316"/>
      <c r="Q52" s="1267"/>
      <c r="R52" s="316"/>
      <c r="S52" s="1245"/>
      <c r="T52" s="1248" t="s">
        <v>435</v>
      </c>
      <c r="U52" s="1247"/>
      <c r="V52" s="1247"/>
      <c r="W52" s="1247"/>
      <c r="X52" s="1247"/>
      <c r="Y52" s="1247"/>
      <c r="Z52" s="1247"/>
      <c r="AA52" s="1247"/>
      <c r="AB52" s="1247"/>
      <c r="AC52" s="1247"/>
      <c r="AD52" s="1247"/>
      <c r="AE52" s="1247"/>
      <c r="AF52" s="1247"/>
      <c r="AG52" s="1247"/>
      <c r="AH52" s="1247"/>
      <c r="AI52" s="1247"/>
      <c r="AJ52" s="1247"/>
      <c r="AK52" s="1247"/>
      <c r="AM52" s="436"/>
      <c r="AN52" s="436" t="str">
        <f t="shared" si="1"/>
        <v>Добавить территорию для дифференциации</v>
      </c>
      <c r="AO52" s="436"/>
      <c r="AP52" s="436"/>
      <c r="AQ52" s="447">
        <v>0</v>
      </c>
    </row>
    <row r="53" spans="1:43" s="1565" customFormat="1" ht="0" hidden="1" customHeight="1">
      <c r="A53" s="1237"/>
      <c r="B53" s="1237"/>
      <c r="C53" s="1237"/>
      <c r="D53" s="1237"/>
      <c r="E53" s="1266"/>
      <c r="F53" s="1237"/>
      <c r="G53" s="1237"/>
      <c r="H53" s="1237"/>
      <c r="I53" s="1237"/>
      <c r="J53" s="1237"/>
      <c r="K53" s="1237"/>
      <c r="L53" s="1381"/>
      <c r="M53" s="1244"/>
      <c r="N53" s="1244"/>
      <c r="P53" s="1239"/>
      <c r="Q53" s="1240"/>
      <c r="R53" s="1239"/>
      <c r="S53" s="1245"/>
      <c r="T53" s="1248" t="s">
        <v>463</v>
      </c>
      <c r="U53" s="1247"/>
      <c r="V53" s="1247"/>
      <c r="W53" s="1247"/>
      <c r="X53" s="1247"/>
      <c r="Y53" s="1247"/>
      <c r="Z53" s="1247"/>
      <c r="AA53" s="1247"/>
      <c r="AB53" s="1247"/>
      <c r="AC53" s="1247"/>
      <c r="AD53" s="1247"/>
      <c r="AE53" s="1247"/>
      <c r="AF53" s="1247"/>
      <c r="AG53" s="1247"/>
      <c r="AH53" s="1247"/>
      <c r="AI53" s="1247"/>
      <c r="AJ53" s="1247"/>
      <c r="AK53" s="1247"/>
      <c r="AM53" s="718"/>
      <c r="AN53" s="718" t="str">
        <f t="shared" si="1"/>
        <v>Добавить наименование тарифа</v>
      </c>
      <c r="AO53" s="718"/>
      <c r="AP53" s="718"/>
      <c r="AQ53" s="454">
        <v>0</v>
      </c>
    </row>
    <row r="54" spans="1:43" ht="11.45" customHeight="1">
      <c r="M54" s="1083"/>
      <c r="N54" s="1083"/>
      <c r="O54" s="473"/>
      <c r="P54" s="1078"/>
      <c r="Q54" s="1078"/>
      <c r="R54" s="1078"/>
      <c r="S54" s="1078"/>
      <c r="AL54" s="1078"/>
      <c r="AM54" s="1078"/>
      <c r="AN54" s="1078"/>
      <c r="AO54" s="1078"/>
      <c r="AP54" s="1078"/>
      <c r="AQ54" s="1078">
        <v>11</v>
      </c>
    </row>
    <row r="55" spans="1:43" ht="14.65" customHeight="1">
      <c r="O55" s="473"/>
      <c r="S55" s="1176"/>
      <c r="T55" s="2526"/>
      <c r="U55" s="2526"/>
      <c r="V55" s="2526"/>
      <c r="W55" s="2526"/>
      <c r="X55" s="2526"/>
      <c r="Y55" s="2526"/>
      <c r="Z55" s="2526"/>
      <c r="AA55" s="2526"/>
      <c r="AB55" s="2526"/>
      <c r="AC55" s="2526"/>
      <c r="AD55" s="2526"/>
      <c r="AE55" s="2526"/>
      <c r="AF55" s="2526"/>
      <c r="AG55" s="2526"/>
      <c r="AH55" s="2526"/>
      <c r="AI55" s="2526"/>
      <c r="AJ55" s="2526"/>
      <c r="AK55" s="2526"/>
      <c r="AQ55" s="1078">
        <v>14</v>
      </c>
    </row>
    <row r="56" spans="1:43" ht="14.65" customHeight="1">
      <c r="O56" s="473"/>
      <c r="AQ56" s="1078">
        <v>14</v>
      </c>
    </row>
    <row r="57" spans="1:43" ht="14.65" customHeight="1">
      <c r="O57" s="473"/>
      <c r="S57" s="1176"/>
      <c r="T57" s="2526"/>
      <c r="U57" s="2526"/>
      <c r="V57" s="2526"/>
      <c r="W57" s="2526"/>
      <c r="X57" s="2526"/>
      <c r="Y57" s="2526"/>
      <c r="Z57" s="2526"/>
      <c r="AA57" s="2526"/>
      <c r="AB57" s="2526"/>
      <c r="AC57" s="2526"/>
      <c r="AD57" s="2526"/>
      <c r="AE57" s="2526"/>
      <c r="AF57" s="2526"/>
      <c r="AG57" s="2526"/>
      <c r="AH57" s="2526"/>
      <c r="AI57" s="2526"/>
      <c r="AJ57" s="2526"/>
      <c r="AK57" s="2526"/>
      <c r="AQ57" s="1078">
        <v>14</v>
      </c>
    </row>
    <row r="58" spans="1:43" ht="22.5" hidden="1" customHeight="1">
      <c r="A58" s="1083" t="s">
        <v>83</v>
      </c>
      <c r="B58" s="1083">
        <v>0</v>
      </c>
      <c r="C58" s="1083">
        <v>0</v>
      </c>
      <c r="D58" s="1083">
        <v>0</v>
      </c>
      <c r="E58" s="1083">
        <v>0</v>
      </c>
      <c r="F58" s="1083">
        <v>0</v>
      </c>
      <c r="G58" s="1083">
        <v>0</v>
      </c>
      <c r="H58" s="1083">
        <v>0</v>
      </c>
      <c r="I58" s="1083">
        <v>0</v>
      </c>
      <c r="J58" s="1083">
        <v>0</v>
      </c>
      <c r="K58" s="1083">
        <v>0</v>
      </c>
      <c r="L58" s="1370">
        <v>0</v>
      </c>
      <c r="M58" s="1285">
        <v>0</v>
      </c>
      <c r="N58" s="1285">
        <v>0</v>
      </c>
      <c r="O58" s="1285">
        <v>0</v>
      </c>
      <c r="P58" s="1369">
        <v>3</v>
      </c>
      <c r="Q58" s="281">
        <v>3</v>
      </c>
      <c r="R58" s="281">
        <v>3</v>
      </c>
      <c r="S58" s="517">
        <v>12</v>
      </c>
      <c r="T58" s="1078">
        <v>35</v>
      </c>
      <c r="U58" s="1078">
        <v>0</v>
      </c>
      <c r="V58" s="1078">
        <v>0</v>
      </c>
      <c r="W58" s="1078">
        <v>0</v>
      </c>
      <c r="X58" s="1078">
        <v>0</v>
      </c>
      <c r="Y58" s="1078">
        <v>0</v>
      </c>
      <c r="Z58" s="1078">
        <v>0</v>
      </c>
      <c r="AA58" s="1078">
        <v>0</v>
      </c>
      <c r="AB58" s="1078">
        <v>0</v>
      </c>
      <c r="AC58" s="1078">
        <v>24</v>
      </c>
      <c r="AD58" s="1078">
        <v>24</v>
      </c>
      <c r="AE58" s="1078">
        <v>24</v>
      </c>
      <c r="AF58" s="1078">
        <v>11</v>
      </c>
      <c r="AG58" s="1078">
        <v>3</v>
      </c>
      <c r="AH58" s="1078">
        <v>11</v>
      </c>
      <c r="AI58" s="1078">
        <v>0</v>
      </c>
      <c r="AJ58" s="1078">
        <v>4</v>
      </c>
      <c r="AK58" s="1078">
        <v>115</v>
      </c>
      <c r="AL58" s="447">
        <v>10</v>
      </c>
      <c r="AM58" s="447">
        <v>10</v>
      </c>
      <c r="AN58" s="447">
        <v>10</v>
      </c>
      <c r="AO58" s="447">
        <v>10</v>
      </c>
      <c r="AP58" s="447">
        <v>10</v>
      </c>
      <c r="AQ58" s="1078">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89" hidden="1" customWidth="1"/>
    <col min="2" max="2" width="11" style="1289" hidden="1" customWidth="1"/>
    <col min="3" max="3" width="10.5703125" style="1289" hidden="1"/>
    <col min="4" max="4" width="12.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2" style="1289" hidden="1" customWidth="1"/>
    <col min="10" max="10" width="9.85546875" style="1289" hidden="1" customWidth="1"/>
    <col min="11" max="11" width="11.42578125" style="1289" hidden="1" customWidth="1"/>
    <col min="12" max="12" width="19.140625" style="2043" hidden="1" customWidth="1"/>
    <col min="13" max="14" width="12.28515625" style="1696" hidden="1" customWidth="1"/>
    <col min="15" max="15" width="23.42578125" style="1696" hidden="1" customWidth="1"/>
    <col min="16" max="16" width="3.7109375" style="1696" hidden="1" customWidth="1"/>
    <col min="17" max="17" width="3.7109375" style="1294" hidden="1" customWidth="1"/>
    <col min="18" max="18" width="3" style="281" customWidth="1"/>
    <col min="19" max="19" width="12" style="2033" customWidth="1"/>
    <col min="20" max="20" width="31" style="1558" customWidth="1"/>
    <col min="21" max="21" width="0.140625" style="1558" customWidth="1"/>
    <col min="22" max="25" width="21.7109375" style="1558" hidden="1" customWidth="1"/>
    <col min="26" max="26" width="11.7109375" style="1558" hidden="1" customWidth="1"/>
    <col min="27" max="27" width="3.7109375" style="1558" hidden="1" customWidth="1"/>
    <col min="28" max="28" width="11.7109375" style="1558" hidden="1" customWidth="1"/>
    <col min="29" max="29" width="8.5703125" style="1558" hidden="1" customWidth="1"/>
    <col min="30" max="30" width="3.7109375" style="1558" customWidth="1"/>
    <col min="31" max="32" width="3" style="1558" customWidth="1"/>
    <col min="33" max="33" width="24" style="1558" customWidth="1"/>
    <col min="34" max="34" width="3.7109375" style="1558" customWidth="1"/>
    <col min="35" max="36" width="3" style="1558" customWidth="1"/>
    <col min="37" max="37" width="24" style="1558" customWidth="1"/>
    <col min="38" max="38" width="3.7109375" style="1558" customWidth="1"/>
    <col min="39" max="40" width="3" style="1558" customWidth="1"/>
    <col min="41" max="41" width="18" style="1558" customWidth="1"/>
    <col min="42" max="42" width="3.7109375" style="1558" customWidth="1"/>
    <col min="43" max="44" width="3" style="1558" customWidth="1"/>
    <col min="45" max="45" width="18" style="1558" customWidth="1"/>
    <col min="46" max="49" width="21" style="1558" customWidth="1"/>
    <col min="50" max="50" width="11" style="1558" customWidth="1"/>
    <col min="51" max="51" width="3.7109375" style="1558" customWidth="1"/>
    <col min="52" max="52" width="11" style="1558" customWidth="1"/>
    <col min="53" max="53" width="8.5703125" style="1558" hidden="1" customWidth="1"/>
    <col min="54" max="54" width="4" style="1558" customWidth="1"/>
    <col min="55" max="55" width="115" style="1558" customWidth="1"/>
    <col min="56" max="60" width="10" style="1565" customWidth="1"/>
    <col min="61" max="61" width="10.5703125" style="1558" hidden="1"/>
  </cols>
  <sheetData>
    <row r="1" spans="1:61" ht="22.5" hidden="1" customHeight="1">
      <c r="W1" s="264"/>
      <c r="Y1" s="264"/>
      <c r="Z1" s="264"/>
      <c r="AW1" s="264"/>
      <c r="AX1" s="264"/>
      <c r="BI1" s="1078" t="s">
        <v>14</v>
      </c>
    </row>
    <row r="2" spans="1:61" ht="21" hidden="1" customHeight="1">
      <c r="A2" s="1286"/>
      <c r="B2" s="1286"/>
      <c r="C2" s="1286"/>
      <c r="D2" s="1286"/>
      <c r="E2" s="2506">
        <v>1</v>
      </c>
      <c r="F2" s="1286"/>
      <c r="G2" s="1286"/>
      <c r="H2" s="1286"/>
      <c r="I2" s="1286"/>
      <c r="J2" s="1286"/>
      <c r="K2" s="1286"/>
      <c r="L2" s="1287"/>
      <c r="M2" s="1288"/>
      <c r="N2" s="1288"/>
      <c r="O2" s="1288"/>
      <c r="P2" s="1332"/>
      <c r="Q2" s="802"/>
      <c r="R2" s="291"/>
      <c r="S2" s="1388" t="e">
        <f>INDEX(PT_DIFFERENTIATION_NUM_NTAR,MATCH(A2,PT_DIFFERENTIATION_NTAR_ID,0))</f>
        <v>#N/A</v>
      </c>
      <c r="T2" s="235" t="s">
        <v>144</v>
      </c>
      <c r="U2" s="237"/>
      <c r="V2" s="2493"/>
      <c r="W2" s="2493"/>
      <c r="X2" s="2493"/>
      <c r="Y2" s="2493"/>
      <c r="Z2" s="2493"/>
      <c r="AA2" s="2493"/>
      <c r="AB2" s="2493"/>
      <c r="AC2" s="2494"/>
      <c r="AD2" s="2492" t="e">
        <f>INDEX(PT_DIFFERENTIATION_NTAR,MATCH(A2,PT_DIFFERENTIATION_NTAR_ID,0))</f>
        <v>#N/A</v>
      </c>
      <c r="AE2" s="2493"/>
      <c r="AF2" s="2493"/>
      <c r="AG2" s="2493"/>
      <c r="AH2" s="2493"/>
      <c r="AI2" s="2493"/>
      <c r="AJ2" s="2493"/>
      <c r="AK2" s="2493"/>
      <c r="AL2" s="2493"/>
      <c r="AM2" s="2493"/>
      <c r="AN2" s="2493"/>
      <c r="AO2" s="2493"/>
      <c r="AP2" s="2493"/>
      <c r="AQ2" s="2493"/>
      <c r="AR2" s="2493"/>
      <c r="AS2" s="2493"/>
      <c r="AT2" s="2493"/>
      <c r="AU2" s="2493"/>
      <c r="AV2" s="2493"/>
      <c r="AW2" s="2493"/>
      <c r="AX2" s="2493"/>
      <c r="AY2" s="2493"/>
      <c r="AZ2" s="2493"/>
      <c r="BA2" s="2493"/>
      <c r="BB2" s="2494"/>
      <c r="BC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78">
        <v>0</v>
      </c>
    </row>
    <row r="3" spans="1:61" ht="21" hidden="1" customHeight="1">
      <c r="A3" s="1286"/>
      <c r="B3" s="1286"/>
      <c r="C3" s="1286"/>
      <c r="D3" s="1286"/>
      <c r="E3" s="2507"/>
      <c r="F3" s="2506">
        <v>1</v>
      </c>
      <c r="G3" s="1286"/>
      <c r="H3" s="1286"/>
      <c r="I3" s="1286"/>
      <c r="J3" s="1286"/>
      <c r="K3" s="1286"/>
      <c r="L3" s="1287"/>
      <c r="M3" s="1288"/>
      <c r="N3" s="1288"/>
      <c r="O3" s="1288"/>
      <c r="P3" s="1333"/>
      <c r="Q3" s="1334"/>
      <c r="R3" s="289"/>
      <c r="S3" s="1388" t="e">
        <f>INDEX(PT_DIFFERENTIATION_NUM_TER,MATCH(B3,PT_DIFFERENTIATION_TER_ID,0))</f>
        <v>#N/A</v>
      </c>
      <c r="T3" s="245" t="s">
        <v>416</v>
      </c>
      <c r="U3" s="237"/>
      <c r="V3" s="2493"/>
      <c r="W3" s="2493"/>
      <c r="X3" s="2493"/>
      <c r="Y3" s="2493"/>
      <c r="Z3" s="2493"/>
      <c r="AA3" s="2493"/>
      <c r="AB3" s="2493"/>
      <c r="AC3" s="2494"/>
      <c r="AD3" s="2492" t="e">
        <f>INDEX(PT_DIFFERENTIATION_TER,MATCH(B3,PT_DIFFERENTIATION_TER_ID,0))</f>
        <v>#N/A</v>
      </c>
      <c r="AE3" s="2493"/>
      <c r="AF3" s="2493"/>
      <c r="AG3" s="2493"/>
      <c r="AH3" s="2493"/>
      <c r="AI3" s="2493"/>
      <c r="AJ3" s="2493"/>
      <c r="AK3" s="2493"/>
      <c r="AL3" s="2493"/>
      <c r="AM3" s="2493"/>
      <c r="AN3" s="2493"/>
      <c r="AO3" s="2493"/>
      <c r="AP3" s="2493"/>
      <c r="AQ3" s="2493"/>
      <c r="AR3" s="2493"/>
      <c r="AS3" s="2493"/>
      <c r="AT3" s="2493"/>
      <c r="AU3" s="2493"/>
      <c r="AV3" s="2493"/>
      <c r="AW3" s="2493"/>
      <c r="AX3" s="2493"/>
      <c r="AY3" s="2493"/>
      <c r="AZ3" s="2493"/>
      <c r="BA3" s="2493"/>
      <c r="BB3" s="2494"/>
      <c r="BC3" s="1181" t="s">
        <v>417</v>
      </c>
      <c r="BE3" s="436"/>
      <c r="BF3" s="436" t="str">
        <f t="shared" si="0"/>
        <v>Территория действия тарифа</v>
      </c>
      <c r="BG3" s="436"/>
      <c r="BH3" s="436"/>
      <c r="BI3" s="1078">
        <v>0</v>
      </c>
    </row>
    <row r="4" spans="1:61" ht="42" hidden="1" customHeight="1">
      <c r="A4" s="1286"/>
      <c r="B4" s="1286"/>
      <c r="C4" s="1286"/>
      <c r="D4" s="1286"/>
      <c r="E4" s="2507"/>
      <c r="F4" s="2507"/>
      <c r="G4" s="2506">
        <v>1</v>
      </c>
      <c r="H4" s="1286"/>
      <c r="I4" s="1286"/>
      <c r="J4" s="1286"/>
      <c r="K4" s="1286"/>
      <c r="L4" s="1287"/>
      <c r="M4" s="1288"/>
      <c r="N4" s="1288"/>
      <c r="O4" s="1288"/>
      <c r="P4" s="1335"/>
      <c r="Q4" s="1334"/>
      <c r="R4" s="289"/>
      <c r="S4" s="1388" t="e">
        <f>INDEX(PT_DIFFERENTIATION_NUM_CS,MATCH(C4,PT_DIFFERENTIATION_CS_ID,0))</f>
        <v>#N/A</v>
      </c>
      <c r="T4" s="246" t="s">
        <v>498</v>
      </c>
      <c r="U4" s="237"/>
      <c r="V4" s="2493"/>
      <c r="W4" s="2493"/>
      <c r="X4" s="2493"/>
      <c r="Y4" s="2493"/>
      <c r="Z4" s="2493"/>
      <c r="AA4" s="2493"/>
      <c r="AB4" s="2493"/>
      <c r="AC4" s="2494"/>
      <c r="AD4" s="2492" t="e">
        <f>INDEX(PT_DIFFERENTIATION_CS,MATCH(C4,PT_DIFFERENTIATION_CS_ID,0))</f>
        <v>#N/A</v>
      </c>
      <c r="AE4" s="2493"/>
      <c r="AF4" s="2493"/>
      <c r="AG4" s="2493"/>
      <c r="AH4" s="2493"/>
      <c r="AI4" s="2493"/>
      <c r="AJ4" s="2493"/>
      <c r="AK4" s="2493"/>
      <c r="AL4" s="2493"/>
      <c r="AM4" s="2493"/>
      <c r="AN4" s="2493"/>
      <c r="AO4" s="2493"/>
      <c r="AP4" s="2493"/>
      <c r="AQ4" s="2493"/>
      <c r="AR4" s="2493"/>
      <c r="AS4" s="2493"/>
      <c r="AT4" s="2493"/>
      <c r="AU4" s="2493"/>
      <c r="AV4" s="2493"/>
      <c r="AW4" s="2493"/>
      <c r="AX4" s="2493"/>
      <c r="AY4" s="2493"/>
      <c r="AZ4" s="2493"/>
      <c r="BA4" s="2493"/>
      <c r="BB4" s="2494"/>
      <c r="BC4" s="1181" t="s">
        <v>499</v>
      </c>
      <c r="BE4" s="436"/>
      <c r="BF4" s="436" t="str">
        <f t="shared" si="0"/>
        <v>Наименование централизованной системы холодного водоснабжения</v>
      </c>
      <c r="BG4" s="436"/>
      <c r="BH4" s="436"/>
      <c r="BI4" s="1078">
        <v>0</v>
      </c>
    </row>
    <row r="5" spans="1:61" s="1565" customFormat="1" ht="14.25" hidden="1" customHeight="1">
      <c r="A5" s="1266"/>
      <c r="B5" s="1266"/>
      <c r="C5" s="1266"/>
      <c r="D5" s="1266"/>
      <c r="E5" s="2507"/>
      <c r="F5" s="2507"/>
      <c r="G5" s="2507"/>
      <c r="H5" s="2506">
        <v>1</v>
      </c>
      <c r="I5" s="1266"/>
      <c r="J5" s="1266"/>
      <c r="K5" s="1266"/>
      <c r="L5" s="1269"/>
      <c r="M5" s="1238"/>
      <c r="N5" s="1238"/>
      <c r="O5" s="1238"/>
      <c r="P5" s="1420"/>
      <c r="Q5" s="1421"/>
      <c r="R5" s="293"/>
      <c r="S5" s="969"/>
      <c r="T5" s="1422"/>
      <c r="U5" s="1307"/>
      <c r="V5" s="2536"/>
      <c r="W5" s="2536"/>
      <c r="X5" s="2536"/>
      <c r="Y5" s="2536"/>
      <c r="Z5" s="2536"/>
      <c r="AA5" s="2536"/>
      <c r="AB5" s="2536"/>
      <c r="AC5" s="2537"/>
      <c r="AD5" s="2535"/>
      <c r="AE5" s="2536"/>
      <c r="AF5" s="2536"/>
      <c r="AG5" s="2536"/>
      <c r="AH5" s="2536"/>
      <c r="AI5" s="2536"/>
      <c r="AJ5" s="2536"/>
      <c r="AK5" s="2536"/>
      <c r="AL5" s="2536"/>
      <c r="AM5" s="2536"/>
      <c r="AN5" s="2536"/>
      <c r="AO5" s="2536"/>
      <c r="AP5" s="2536"/>
      <c r="AQ5" s="2536"/>
      <c r="AR5" s="2536"/>
      <c r="AS5" s="2536"/>
      <c r="AT5" s="2536"/>
      <c r="AU5" s="2536"/>
      <c r="AV5" s="2536"/>
      <c r="AW5" s="2536"/>
      <c r="AX5" s="2536"/>
      <c r="AY5" s="2536"/>
      <c r="AZ5" s="2536"/>
      <c r="BA5" s="2536"/>
      <c r="BB5" s="2537"/>
      <c r="BC5" s="1308" t="s">
        <v>421</v>
      </c>
      <c r="BE5" s="436"/>
      <c r="BF5" s="436" t="str">
        <f t="shared" si="0"/>
        <v/>
      </c>
      <c r="BG5" s="436"/>
      <c r="BH5" s="436"/>
      <c r="BI5" s="447">
        <v>0</v>
      </c>
    </row>
    <row r="6" spans="1:61" s="1565" customFormat="1" ht="14.25" hidden="1" customHeight="1">
      <c r="A6" s="1266"/>
      <c r="B6" s="1266"/>
      <c r="C6" s="1266"/>
      <c r="D6" s="1266"/>
      <c r="E6" s="2507"/>
      <c r="F6" s="2507"/>
      <c r="G6" s="2507"/>
      <c r="H6" s="2507"/>
      <c r="I6" s="2504" t="str">
        <f>S5&amp;".1"</f>
        <v>.1</v>
      </c>
      <c r="J6" s="1266"/>
      <c r="K6" s="1266"/>
      <c r="L6" s="1269" t="s">
        <v>422</v>
      </c>
      <c r="M6" s="446"/>
      <c r="N6" s="446"/>
      <c r="O6" s="446"/>
      <c r="P6" s="2505">
        <v>1</v>
      </c>
      <c r="Q6" s="1385"/>
      <c r="R6" s="292"/>
      <c r="S6" s="969"/>
      <c r="T6" s="1306"/>
      <c r="U6" s="1307"/>
      <c r="V6" s="2536"/>
      <c r="W6" s="2536"/>
      <c r="X6" s="2536"/>
      <c r="Y6" s="2536"/>
      <c r="Z6" s="2536"/>
      <c r="AA6" s="2536"/>
      <c r="AB6" s="2536"/>
      <c r="AC6" s="2537"/>
      <c r="AD6" s="2535"/>
      <c r="AE6" s="2536"/>
      <c r="AF6" s="2536"/>
      <c r="AG6" s="2536"/>
      <c r="AH6" s="2536"/>
      <c r="AI6" s="2536"/>
      <c r="AJ6" s="2536"/>
      <c r="AK6" s="2536"/>
      <c r="AL6" s="2536"/>
      <c r="AM6" s="2536"/>
      <c r="AN6" s="2536"/>
      <c r="AO6" s="2536"/>
      <c r="AP6" s="2536"/>
      <c r="AQ6" s="2536"/>
      <c r="AR6" s="2536"/>
      <c r="AS6" s="2536"/>
      <c r="AT6" s="2536"/>
      <c r="AU6" s="2536"/>
      <c r="AV6" s="2536"/>
      <c r="AW6" s="2536"/>
      <c r="AX6" s="2536"/>
      <c r="AY6" s="2536"/>
      <c r="AZ6" s="2536"/>
      <c r="BA6" s="2536"/>
      <c r="BB6" s="2537"/>
      <c r="BC6" s="1308"/>
      <c r="BE6" s="436"/>
      <c r="BF6" s="436" t="str">
        <f t="shared" si="0"/>
        <v/>
      </c>
      <c r="BG6" s="436"/>
      <c r="BH6" s="436"/>
      <c r="BI6" s="447">
        <v>0</v>
      </c>
    </row>
    <row r="7" spans="1:61" s="1565" customFormat="1" ht="14.25" hidden="1" customHeight="1">
      <c r="A7" s="1266"/>
      <c r="B7" s="1266"/>
      <c r="C7" s="1266"/>
      <c r="D7" s="1266"/>
      <c r="E7" s="2507"/>
      <c r="F7" s="2507"/>
      <c r="G7" s="2507"/>
      <c r="H7" s="2507"/>
      <c r="I7" s="2527"/>
      <c r="J7" s="2504" t="str">
        <f>S5&amp;".1"</f>
        <v>.1</v>
      </c>
      <c r="K7" s="1266"/>
      <c r="L7" s="1269"/>
      <c r="M7" s="446"/>
      <c r="N7" s="446"/>
      <c r="O7" s="446"/>
      <c r="P7" s="2505"/>
      <c r="Q7" s="2505">
        <v>1</v>
      </c>
      <c r="R7" s="293"/>
      <c r="S7" s="969"/>
      <c r="T7" s="1322"/>
      <c r="U7" s="1307"/>
      <c r="V7" s="2536"/>
      <c r="W7" s="2536"/>
      <c r="X7" s="2536"/>
      <c r="Y7" s="2536"/>
      <c r="Z7" s="2536"/>
      <c r="AA7" s="2536"/>
      <c r="AB7" s="2536"/>
      <c r="AC7" s="2537"/>
      <c r="AD7" s="2535"/>
      <c r="AE7" s="2536"/>
      <c r="AF7" s="2536"/>
      <c r="AG7" s="2536"/>
      <c r="AH7" s="2536"/>
      <c r="AI7" s="2536"/>
      <c r="AJ7" s="2536"/>
      <c r="AK7" s="2536"/>
      <c r="AL7" s="2536"/>
      <c r="AM7" s="2536"/>
      <c r="AN7" s="2536"/>
      <c r="AO7" s="2536"/>
      <c r="AP7" s="2536"/>
      <c r="AQ7" s="2536"/>
      <c r="AR7" s="2536"/>
      <c r="AS7" s="2536"/>
      <c r="AT7" s="2536"/>
      <c r="AU7" s="2536"/>
      <c r="AV7" s="2536"/>
      <c r="AW7" s="2536"/>
      <c r="AX7" s="2536"/>
      <c r="AY7" s="2536"/>
      <c r="AZ7" s="2536"/>
      <c r="BA7" s="2536"/>
      <c r="BB7" s="2537"/>
      <c r="BC7" s="1308"/>
      <c r="BE7" s="436"/>
      <c r="BF7" s="436" t="str">
        <f t="shared" si="0"/>
        <v/>
      </c>
      <c r="BG7" s="436"/>
      <c r="BH7" s="436"/>
      <c r="BI7" s="447">
        <v>0</v>
      </c>
    </row>
    <row r="8" spans="1:61" ht="11.25" hidden="1" customHeight="1">
      <c r="A8" s="1286"/>
      <c r="B8" s="1286"/>
      <c r="C8" s="1286"/>
      <c r="D8" s="1286"/>
      <c r="E8" s="2507"/>
      <c r="F8" s="2507"/>
      <c r="G8" s="2507"/>
      <c r="H8" s="2507"/>
      <c r="I8" s="2527"/>
      <c r="J8" s="2527"/>
      <c r="K8" s="2504" t="e">
        <f>S4&amp;".1"</f>
        <v>#N/A</v>
      </c>
      <c r="L8" s="1287"/>
      <c r="P8" s="2505"/>
      <c r="Q8" s="2505"/>
      <c r="R8" s="2570">
        <v>1</v>
      </c>
      <c r="S8" s="2564" t="e">
        <f>$K8</f>
        <v>#N/A</v>
      </c>
      <c r="T8" s="2585"/>
      <c r="U8" s="237"/>
      <c r="V8" s="686"/>
      <c r="W8" s="1180"/>
      <c r="X8" s="686"/>
      <c r="Y8" s="1180"/>
      <c r="Z8" s="1655"/>
      <c r="AA8" s="1382" t="s">
        <v>63</v>
      </c>
      <c r="AB8" s="1655"/>
      <c r="AC8" s="1382" t="s">
        <v>63</v>
      </c>
      <c r="AD8" s="2445" t="s">
        <v>63</v>
      </c>
      <c r="AE8" s="2549"/>
      <c r="AF8" s="2462">
        <v>1</v>
      </c>
      <c r="AG8" s="2588"/>
      <c r="AH8" s="2360" t="s">
        <v>63</v>
      </c>
      <c r="AI8" s="2549"/>
      <c r="AJ8" s="2462">
        <v>1</v>
      </c>
      <c r="AK8" s="2550" t="s">
        <v>22</v>
      </c>
      <c r="AL8" s="2360" t="s">
        <v>63</v>
      </c>
      <c r="AM8" s="2452"/>
      <c r="AN8" s="2462">
        <v>1</v>
      </c>
      <c r="AO8" s="2582"/>
      <c r="AP8" s="2583" t="s">
        <v>63</v>
      </c>
      <c r="AQ8" s="248"/>
      <c r="AR8" s="1386">
        <v>1</v>
      </c>
      <c r="AS8" s="1389" t="s">
        <v>22</v>
      </c>
      <c r="AT8" s="686"/>
      <c r="AU8" s="1180"/>
      <c r="AV8" s="686"/>
      <c r="AW8" s="1180"/>
      <c r="AX8" s="1655"/>
      <c r="AY8" s="1382" t="s">
        <v>63</v>
      </c>
      <c r="AZ8" s="1655"/>
      <c r="BA8" s="1382" t="s">
        <v>63</v>
      </c>
      <c r="BB8" s="1271"/>
      <c r="BC8" s="2501" t="s">
        <v>516</v>
      </c>
      <c r="BE8" s="436"/>
      <c r="BF8" s="436" t="str">
        <f t="shared" si="0"/>
        <v/>
      </c>
      <c r="BG8" s="436"/>
      <c r="BH8" s="436"/>
      <c r="BI8" s="1078">
        <v>0</v>
      </c>
    </row>
    <row r="9" spans="1:61" ht="11.25" hidden="1" customHeight="1">
      <c r="A9" s="1286"/>
      <c r="B9" s="1286"/>
      <c r="C9" s="1286"/>
      <c r="D9" s="1286"/>
      <c r="E9" s="2507"/>
      <c r="F9" s="2507"/>
      <c r="G9" s="2507"/>
      <c r="H9" s="2507"/>
      <c r="I9" s="2527"/>
      <c r="J9" s="2527"/>
      <c r="K9" s="2504"/>
      <c r="L9" s="1287"/>
      <c r="P9" s="2505"/>
      <c r="Q9" s="2505"/>
      <c r="R9" s="2570"/>
      <c r="S9" s="2565"/>
      <c r="T9" s="2586"/>
      <c r="U9" s="237"/>
      <c r="V9" s="1316"/>
      <c r="W9" s="1419"/>
      <c r="X9" s="1316"/>
      <c r="Y9" s="1419"/>
      <c r="Z9" s="1316"/>
      <c r="AA9" s="1316"/>
      <c r="AB9" s="1316"/>
      <c r="AC9" s="1316"/>
      <c r="AD9" s="2446"/>
      <c r="AE9" s="2549"/>
      <c r="AF9" s="2462"/>
      <c r="AG9" s="2588"/>
      <c r="AH9" s="2360"/>
      <c r="AI9" s="2549"/>
      <c r="AJ9" s="2462"/>
      <c r="AK9" s="2550"/>
      <c r="AL9" s="2360"/>
      <c r="AM9" s="2457"/>
      <c r="AN9" s="2462"/>
      <c r="AO9" s="2582"/>
      <c r="AP9" s="2584"/>
      <c r="AQ9" s="253"/>
      <c r="AR9" s="352"/>
      <c r="AS9" s="352" t="s">
        <v>517</v>
      </c>
      <c r="AT9" s="1316"/>
      <c r="AU9" s="1419"/>
      <c r="AV9" s="1316"/>
      <c r="AW9" s="1419"/>
      <c r="AX9" s="1316"/>
      <c r="AY9" s="1316"/>
      <c r="AZ9" s="1316"/>
      <c r="BA9" s="1316"/>
      <c r="BB9" s="1320"/>
      <c r="BC9" s="2502"/>
      <c r="BE9" s="436"/>
      <c r="BF9" s="436"/>
      <c r="BG9" s="436"/>
      <c r="BH9" s="436"/>
      <c r="BI9" s="1078">
        <v>0</v>
      </c>
    </row>
    <row r="10" spans="1:61" ht="11.25" hidden="1" customHeight="1">
      <c r="A10" s="1286"/>
      <c r="B10" s="1286"/>
      <c r="C10" s="1286"/>
      <c r="D10" s="1286"/>
      <c r="E10" s="2507"/>
      <c r="F10" s="2507"/>
      <c r="G10" s="2507"/>
      <c r="H10" s="2507"/>
      <c r="I10" s="2527"/>
      <c r="J10" s="2527"/>
      <c r="K10" s="2504"/>
      <c r="L10" s="1287"/>
      <c r="P10" s="2505"/>
      <c r="Q10" s="2505"/>
      <c r="R10" s="2570"/>
      <c r="S10" s="2565"/>
      <c r="T10" s="2586"/>
      <c r="U10" s="237"/>
      <c r="V10" s="1316"/>
      <c r="W10" s="1419"/>
      <c r="X10" s="1316"/>
      <c r="Y10" s="1419"/>
      <c r="Z10" s="1316"/>
      <c r="AA10" s="1316"/>
      <c r="AB10" s="1316"/>
      <c r="AC10" s="1316"/>
      <c r="AD10" s="2446"/>
      <c r="AE10" s="2549"/>
      <c r="AF10" s="2462"/>
      <c r="AG10" s="2588"/>
      <c r="AH10" s="2360"/>
      <c r="AI10" s="2549"/>
      <c r="AJ10" s="2462"/>
      <c r="AK10" s="2550"/>
      <c r="AL10" s="2360"/>
      <c r="AM10" s="253"/>
      <c r="AN10" s="1423"/>
      <c r="AO10" s="1423" t="s">
        <v>518</v>
      </c>
      <c r="AP10" s="352"/>
      <c r="AQ10" s="352"/>
      <c r="AR10" s="352"/>
      <c r="AS10" s="1316"/>
      <c r="AT10" s="1316"/>
      <c r="AU10" s="1419"/>
      <c r="AV10" s="1316"/>
      <c r="AW10" s="1419"/>
      <c r="AX10" s="1316"/>
      <c r="AY10" s="1316"/>
      <c r="AZ10" s="1316"/>
      <c r="BA10" s="1316"/>
      <c r="BB10" s="1320"/>
      <c r="BC10" s="2502"/>
      <c r="BE10" s="436"/>
      <c r="BF10" s="436"/>
      <c r="BG10" s="436"/>
      <c r="BH10" s="436"/>
      <c r="BI10" s="1078">
        <v>0</v>
      </c>
    </row>
    <row r="11" spans="1:61" ht="11.25" hidden="1" customHeight="1">
      <c r="A11" s="1286"/>
      <c r="B11" s="1286"/>
      <c r="C11" s="1286"/>
      <c r="D11" s="1286"/>
      <c r="E11" s="2507"/>
      <c r="F11" s="2507"/>
      <c r="G11" s="2507"/>
      <c r="H11" s="2507"/>
      <c r="I11" s="2527"/>
      <c r="J11" s="2527"/>
      <c r="K11" s="2504"/>
      <c r="L11" s="1287"/>
      <c r="P11" s="2505"/>
      <c r="Q11" s="2505"/>
      <c r="R11" s="2570"/>
      <c r="S11" s="2565"/>
      <c r="T11" s="2586"/>
      <c r="U11" s="237"/>
      <c r="V11" s="1316"/>
      <c r="W11" s="1419"/>
      <c r="X11" s="1316"/>
      <c r="Y11" s="1419"/>
      <c r="Z11" s="1316"/>
      <c r="AA11" s="1316"/>
      <c r="AB11" s="1316"/>
      <c r="AC11" s="1316"/>
      <c r="AD11" s="2446"/>
      <c r="AE11" s="2549"/>
      <c r="AF11" s="2462"/>
      <c r="AG11" s="2588"/>
      <c r="AH11" s="2360"/>
      <c r="AI11" s="231"/>
      <c r="AJ11" s="351"/>
      <c r="AK11" s="250" t="s">
        <v>519</v>
      </c>
      <c r="AL11" s="1316"/>
      <c r="AM11" s="1316"/>
      <c r="AN11" s="1316"/>
      <c r="AO11" s="1316"/>
      <c r="AP11" s="1316"/>
      <c r="AQ11" s="1316"/>
      <c r="AR11" s="1316"/>
      <c r="AS11" s="1316"/>
      <c r="AT11" s="1316"/>
      <c r="AU11" s="1419"/>
      <c r="AV11" s="1316"/>
      <c r="AW11" s="1419"/>
      <c r="AX11" s="1316"/>
      <c r="AY11" s="1316"/>
      <c r="AZ11" s="1316"/>
      <c r="BA11" s="1316"/>
      <c r="BB11" s="1320"/>
      <c r="BC11" s="2502"/>
      <c r="BE11" s="436"/>
      <c r="BF11" s="436"/>
      <c r="BG11" s="436"/>
      <c r="BH11" s="436"/>
      <c r="BI11" s="1078">
        <v>0</v>
      </c>
    </row>
    <row r="12" spans="1:61" ht="11.25" hidden="1" customHeight="1">
      <c r="A12" s="1286"/>
      <c r="B12" s="1286"/>
      <c r="C12" s="1286"/>
      <c r="D12" s="1286"/>
      <c r="E12" s="2507"/>
      <c r="F12" s="2507"/>
      <c r="G12" s="2507"/>
      <c r="H12" s="2507"/>
      <c r="I12" s="2527"/>
      <c r="J12" s="2527"/>
      <c r="K12" s="2504"/>
      <c r="L12" s="1287"/>
      <c r="P12" s="2505"/>
      <c r="Q12" s="2505"/>
      <c r="R12" s="2570"/>
      <c r="S12" s="2566"/>
      <c r="T12" s="2587"/>
      <c r="U12" s="237"/>
      <c r="V12" s="1316"/>
      <c r="W12" s="1317" t="str">
        <f>Z8&amp;"-"&amp;AB8</f>
        <v>-</v>
      </c>
      <c r="X12" s="1316"/>
      <c r="Y12" s="1317" t="str">
        <f>AB8&amp;"-"&amp;AD8</f>
        <v>-да</v>
      </c>
      <c r="Z12" s="1316"/>
      <c r="AA12" s="1316"/>
      <c r="AB12" s="1316"/>
      <c r="AC12" s="1316"/>
      <c r="AD12" s="2375"/>
      <c r="AE12" s="249"/>
      <c r="AF12" s="251"/>
      <c r="AG12" s="352" t="s">
        <v>520</v>
      </c>
      <c r="AH12" s="1316"/>
      <c r="AI12" s="1316"/>
      <c r="AJ12" s="1316"/>
      <c r="AK12" s="1316"/>
      <c r="AL12" s="1316"/>
      <c r="AM12" s="1316"/>
      <c r="AN12" s="1316"/>
      <c r="AO12" s="1316"/>
      <c r="AP12" s="1316"/>
      <c r="AQ12" s="1316"/>
      <c r="AR12" s="1316"/>
      <c r="AS12" s="1316"/>
      <c r="AT12" s="1316"/>
      <c r="AU12" s="1317" t="str">
        <f>AX8&amp;"-"&amp;AZ8</f>
        <v>-</v>
      </c>
      <c r="AV12" s="1316"/>
      <c r="AW12" s="1317" t="str">
        <f>AZ8&amp;"-"&amp;BB8</f>
        <v>-</v>
      </c>
      <c r="AX12" s="1316"/>
      <c r="AY12" s="1316"/>
      <c r="AZ12" s="1316"/>
      <c r="BA12" s="1316"/>
      <c r="BB12" s="1319" t="str">
        <f>BE8&amp;"-"&amp;BG8</f>
        <v>-</v>
      </c>
      <c r="BC12" s="2502"/>
      <c r="BE12" s="436"/>
      <c r="BF12" s="436" t="str">
        <f t="shared" ref="BF12:BF18" si="1">IF(T12="","",T12)</f>
        <v/>
      </c>
      <c r="BG12" s="436"/>
      <c r="BH12" s="436"/>
      <c r="BI12" s="1078">
        <v>0</v>
      </c>
    </row>
    <row r="13" spans="1:61" ht="11.25" hidden="1" customHeight="1">
      <c r="A13" s="1286"/>
      <c r="B13" s="1286"/>
      <c r="C13" s="1286"/>
      <c r="D13" s="1286"/>
      <c r="E13" s="2507"/>
      <c r="F13" s="2507"/>
      <c r="G13" s="2507"/>
      <c r="H13" s="2507"/>
      <c r="I13" s="2527"/>
      <c r="J13" s="2504"/>
      <c r="K13" s="1286"/>
      <c r="L13" s="1287"/>
      <c r="P13" s="2505"/>
      <c r="Q13" s="2505"/>
      <c r="R13" s="292"/>
      <c r="S13" s="1201"/>
      <c r="T13" s="224" t="s">
        <v>483</v>
      </c>
      <c r="U13" s="303"/>
      <c r="V13" s="303"/>
      <c r="W13" s="303"/>
      <c r="X13" s="303"/>
      <c r="Y13" s="303"/>
      <c r="Z13" s="303"/>
      <c r="AA13" s="303"/>
      <c r="AB13" s="303"/>
      <c r="AC13" s="303"/>
      <c r="AD13" s="1428"/>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503"/>
      <c r="BE13" s="436"/>
      <c r="BF13" s="436" t="str">
        <f t="shared" si="1"/>
        <v>Добавить строку</v>
      </c>
      <c r="BG13" s="436"/>
      <c r="BH13" s="436"/>
      <c r="BI13" s="1078">
        <v>0</v>
      </c>
    </row>
    <row r="14" spans="1:61" s="1565" customFormat="1" ht="14.25" hidden="1" customHeight="1">
      <c r="A14" s="1266"/>
      <c r="B14" s="1266"/>
      <c r="C14" s="1266"/>
      <c r="D14" s="1266"/>
      <c r="E14" s="2507"/>
      <c r="F14" s="2507"/>
      <c r="G14" s="2507"/>
      <c r="H14" s="2507"/>
      <c r="I14" s="2504"/>
      <c r="J14" s="1266"/>
      <c r="K14" s="1266"/>
      <c r="L14" s="1269"/>
      <c r="M14" s="446"/>
      <c r="N14" s="446"/>
      <c r="O14" s="446"/>
      <c r="P14" s="2505"/>
      <c r="Q14" s="1385"/>
      <c r="R14" s="292"/>
      <c r="S14" s="1309"/>
      <c r="T14" s="1310"/>
      <c r="U14" s="1311"/>
      <c r="V14" s="1311"/>
      <c r="W14" s="1311"/>
      <c r="X14" s="1311"/>
      <c r="Y14" s="1311"/>
      <c r="Z14" s="1311"/>
      <c r="AA14" s="1311"/>
      <c r="AB14" s="1311"/>
      <c r="AC14" s="1311"/>
      <c r="AD14" s="1311"/>
      <c r="AE14" s="1311"/>
      <c r="AF14" s="1311"/>
      <c r="AG14" s="1311"/>
      <c r="AH14" s="1311"/>
      <c r="AI14" s="1311"/>
      <c r="AJ14" s="1311"/>
      <c r="AK14" s="1311"/>
      <c r="AL14" s="1311"/>
      <c r="AM14" s="1311"/>
      <c r="AN14" s="1311"/>
      <c r="AO14" s="1311"/>
      <c r="AP14" s="1311"/>
      <c r="AQ14" s="1311"/>
      <c r="AR14" s="1311"/>
      <c r="AS14" s="1311"/>
      <c r="AT14" s="1311"/>
      <c r="AU14" s="1311"/>
      <c r="AV14" s="1311"/>
      <c r="AW14" s="1311"/>
      <c r="AX14" s="1311"/>
      <c r="AY14" s="1311"/>
      <c r="AZ14" s="1311"/>
      <c r="BA14" s="1311"/>
      <c r="BB14" s="1311"/>
      <c r="BC14" s="1312"/>
      <c r="BE14" s="436"/>
      <c r="BF14" s="436" t="str">
        <f t="shared" si="1"/>
        <v/>
      </c>
      <c r="BG14" s="436"/>
      <c r="BH14" s="436"/>
      <c r="BI14" s="447">
        <v>0</v>
      </c>
    </row>
    <row r="15" spans="1:61" s="1565" customFormat="1" ht="14.25" hidden="1" customHeight="1">
      <c r="A15" s="1266"/>
      <c r="B15" s="1266"/>
      <c r="C15" s="1266"/>
      <c r="D15" s="1266"/>
      <c r="E15" s="2507"/>
      <c r="F15" s="2507"/>
      <c r="G15" s="2507"/>
      <c r="H15" s="2506"/>
      <c r="I15" s="1266"/>
      <c r="J15" s="1266"/>
      <c r="K15" s="1266"/>
      <c r="L15" s="1269"/>
      <c r="M15" s="1238"/>
      <c r="N15" s="1238"/>
      <c r="O15" s="454"/>
      <c r="P15" s="316"/>
      <c r="Q15" s="1267"/>
      <c r="R15" s="1324"/>
      <c r="S15" s="1309"/>
      <c r="T15" s="1310"/>
      <c r="U15" s="1311"/>
      <c r="V15" s="1311"/>
      <c r="W15" s="1311"/>
      <c r="X15" s="1311"/>
      <c r="Y15" s="1311"/>
      <c r="Z15" s="1311"/>
      <c r="AA15" s="1311"/>
      <c r="AB15" s="1311"/>
      <c r="AC15" s="1311"/>
      <c r="AD15" s="1311"/>
      <c r="AE15" s="1311"/>
      <c r="AF15" s="1311"/>
      <c r="AG15" s="1311"/>
      <c r="AH15" s="1311"/>
      <c r="AI15" s="1311"/>
      <c r="AJ15" s="1311"/>
      <c r="AK15" s="1311"/>
      <c r="AL15" s="1311"/>
      <c r="AM15" s="1311"/>
      <c r="AN15" s="1311"/>
      <c r="AO15" s="1311"/>
      <c r="AP15" s="1311"/>
      <c r="AQ15" s="1311"/>
      <c r="AR15" s="1311"/>
      <c r="AS15" s="1311"/>
      <c r="AT15" s="1311"/>
      <c r="AU15" s="1311"/>
      <c r="AV15" s="1311"/>
      <c r="AW15" s="1311"/>
      <c r="AX15" s="1311"/>
      <c r="AY15" s="1311"/>
      <c r="AZ15" s="1311"/>
      <c r="BA15" s="1311"/>
      <c r="BB15" s="1311"/>
      <c r="BC15" s="1312"/>
      <c r="BE15" s="436"/>
      <c r="BF15" s="436" t="str">
        <f t="shared" si="1"/>
        <v/>
      </c>
      <c r="BG15" s="436"/>
      <c r="BH15" s="436"/>
      <c r="BI15" s="447">
        <v>0</v>
      </c>
    </row>
    <row r="16" spans="1:61" s="1565" customFormat="1" ht="14.25" hidden="1" customHeight="1">
      <c r="A16" s="1266"/>
      <c r="B16" s="1266"/>
      <c r="C16" s="1266"/>
      <c r="D16" s="1237"/>
      <c r="E16" s="2507"/>
      <c r="F16" s="2507"/>
      <c r="G16" s="2506"/>
      <c r="H16" s="1237"/>
      <c r="I16" s="1237"/>
      <c r="J16" s="1237"/>
      <c r="K16" s="1237"/>
      <c r="L16" s="1387"/>
      <c r="M16" s="1238"/>
      <c r="N16" s="1238"/>
      <c r="P16" s="1239"/>
      <c r="Q16" s="1240"/>
      <c r="R16" s="1239"/>
      <c r="S16" s="1245"/>
      <c r="T16" s="1248"/>
      <c r="U16" s="1247"/>
      <c r="V16" s="1247"/>
      <c r="W16" s="1247"/>
      <c r="X16" s="1247"/>
      <c r="Y16" s="1247"/>
      <c r="Z16" s="1247"/>
      <c r="AA16" s="1247"/>
      <c r="AB16" s="1247"/>
      <c r="AC16" s="1247"/>
      <c r="AD16" s="1247"/>
      <c r="AE16" s="1247"/>
      <c r="AF16" s="1247"/>
      <c r="AG16" s="1247"/>
      <c r="AH16" s="1247"/>
      <c r="AI16" s="1247"/>
      <c r="AJ16" s="1247"/>
      <c r="AK16" s="1247"/>
      <c r="AL16" s="1247"/>
      <c r="AM16" s="1247"/>
      <c r="AN16" s="1247"/>
      <c r="AO16" s="1247"/>
      <c r="AP16" s="1247"/>
      <c r="AQ16" s="1247"/>
      <c r="AR16" s="1247"/>
      <c r="AS16" s="1247"/>
      <c r="AT16" s="1247"/>
      <c r="AU16" s="1247"/>
      <c r="AV16" s="1247"/>
      <c r="AW16" s="1247"/>
      <c r="AX16" s="1247"/>
      <c r="AY16" s="1247"/>
      <c r="AZ16" s="1247"/>
      <c r="BA16" s="1247"/>
      <c r="BB16" s="1247"/>
      <c r="BC16" s="1247"/>
      <c r="BE16" s="718"/>
      <c r="BF16" s="718" t="str">
        <f t="shared" si="1"/>
        <v/>
      </c>
      <c r="BG16" s="718"/>
      <c r="BH16" s="718"/>
      <c r="BI16" s="454">
        <v>0</v>
      </c>
    </row>
    <row r="17" spans="1:61" s="1565" customFormat="1" ht="14.25" hidden="1" customHeight="1">
      <c r="A17" s="1266"/>
      <c r="B17" s="1266"/>
      <c r="C17" s="1237"/>
      <c r="D17" s="1237"/>
      <c r="E17" s="2507"/>
      <c r="F17" s="2506"/>
      <c r="G17" s="1237"/>
      <c r="H17" s="1237"/>
      <c r="I17" s="1237"/>
      <c r="J17" s="1237"/>
      <c r="K17" s="1237"/>
      <c r="L17" s="1387"/>
      <c r="M17" s="1244"/>
      <c r="N17" s="1244"/>
      <c r="P17" s="1239"/>
      <c r="Q17" s="1240"/>
      <c r="R17" s="1239"/>
      <c r="S17" s="1245"/>
      <c r="T17" s="1248" t="s">
        <v>434</v>
      </c>
      <c r="U17" s="1247"/>
      <c r="V17" s="1247"/>
      <c r="W17" s="1247"/>
      <c r="X17" s="1247"/>
      <c r="Y17" s="1247"/>
      <c r="Z17" s="1247"/>
      <c r="AA17" s="1247"/>
      <c r="AB17" s="1247"/>
      <c r="AC17" s="1247"/>
      <c r="AD17" s="1247"/>
      <c r="AE17" s="1247"/>
      <c r="AF17" s="1247"/>
      <c r="AG17" s="1247"/>
      <c r="AH17" s="1247"/>
      <c r="AI17" s="1247"/>
      <c r="AJ17" s="1247"/>
      <c r="AK17" s="1247"/>
      <c r="AL17" s="1247"/>
      <c r="AM17" s="1247"/>
      <c r="AN17" s="1247"/>
      <c r="AO17" s="1247"/>
      <c r="AP17" s="1247"/>
      <c r="AQ17" s="1247"/>
      <c r="AR17" s="1247"/>
      <c r="AS17" s="1247"/>
      <c r="AT17" s="1247"/>
      <c r="AU17" s="1247"/>
      <c r="AV17" s="1247"/>
      <c r="AW17" s="1247"/>
      <c r="AX17" s="1247"/>
      <c r="AY17" s="1247"/>
      <c r="AZ17" s="1247"/>
      <c r="BA17" s="1247"/>
      <c r="BB17" s="1247"/>
      <c r="BC17" s="1247"/>
      <c r="BE17" s="718"/>
      <c r="BF17" s="718" t="str">
        <f t="shared" si="1"/>
        <v>Добавить централизованную систему для дифференциации</v>
      </c>
      <c r="BG17" s="718"/>
      <c r="BH17" s="718"/>
      <c r="BI17" s="454">
        <v>0</v>
      </c>
    </row>
    <row r="18" spans="1:61" s="1565" customFormat="1" ht="14.25" hidden="1" customHeight="1">
      <c r="A18" s="1266"/>
      <c r="B18" s="1266"/>
      <c r="C18" s="1266"/>
      <c r="D18" s="1266"/>
      <c r="E18" s="2506"/>
      <c r="F18" s="1266"/>
      <c r="G18" s="1266"/>
      <c r="H18" s="1266"/>
      <c r="I18" s="1266"/>
      <c r="J18" s="1266"/>
      <c r="K18" s="1266"/>
      <c r="L18" s="1269"/>
      <c r="M18" s="1244"/>
      <c r="N18" s="1244"/>
      <c r="O18" s="454"/>
      <c r="P18" s="316"/>
      <c r="Q18" s="1267"/>
      <c r="R18" s="316"/>
      <c r="S18" s="1245"/>
      <c r="T18" s="1248" t="s">
        <v>435</v>
      </c>
      <c r="U18" s="1247"/>
      <c r="V18" s="1247"/>
      <c r="W18" s="1247"/>
      <c r="X18" s="1247"/>
      <c r="Y18" s="1247"/>
      <c r="Z18" s="1247"/>
      <c r="AA18" s="1247"/>
      <c r="AB18" s="1247"/>
      <c r="AC18" s="1247"/>
      <c r="AD18" s="1247"/>
      <c r="AE18" s="1247"/>
      <c r="AF18" s="1247"/>
      <c r="AG18" s="1247"/>
      <c r="AH18" s="1247"/>
      <c r="AI18" s="1247"/>
      <c r="AJ18" s="1247"/>
      <c r="AK18" s="1247"/>
      <c r="AL18" s="1247"/>
      <c r="AM18" s="1247"/>
      <c r="AN18" s="1247"/>
      <c r="AO18" s="1247"/>
      <c r="AP18" s="1247"/>
      <c r="AQ18" s="1247"/>
      <c r="AR18" s="1247"/>
      <c r="AS18" s="1247"/>
      <c r="AT18" s="1247"/>
      <c r="AU18" s="1247"/>
      <c r="AV18" s="1247"/>
      <c r="AW18" s="1247"/>
      <c r="AX18" s="1247"/>
      <c r="AY18" s="1247"/>
      <c r="AZ18" s="1247"/>
      <c r="BA18" s="1247"/>
      <c r="BB18" s="1247"/>
      <c r="BC18" s="1247"/>
      <c r="BE18" s="436"/>
      <c r="BF18" s="436" t="str">
        <f t="shared" si="1"/>
        <v>Добавить территорию для дифференциации</v>
      </c>
      <c r="BG18" s="436"/>
      <c r="BH18" s="436"/>
      <c r="BI18" s="447">
        <v>0</v>
      </c>
    </row>
    <row r="19" spans="1:61" ht="14.25" hidden="1" customHeight="1">
      <c r="AC19" s="264"/>
      <c r="BA19" s="264"/>
      <c r="BI19" s="1078">
        <v>0</v>
      </c>
    </row>
    <row r="20" spans="1:61" ht="14.25" hidden="1" customHeight="1">
      <c r="AD20" s="1247" t="s">
        <v>19</v>
      </c>
      <c r="AE20" s="1424"/>
      <c r="AF20" s="484">
        <v>1</v>
      </c>
      <c r="AG20" s="1425"/>
      <c r="AH20" s="1247" t="s">
        <v>19</v>
      </c>
      <c r="AI20" s="1424"/>
      <c r="AJ20" s="484">
        <v>1</v>
      </c>
      <c r="AK20" s="1425"/>
      <c r="AL20" s="1247" t="s">
        <v>19</v>
      </c>
      <c r="AM20" s="1426"/>
      <c r="AN20" s="484">
        <v>1</v>
      </c>
      <c r="AO20" s="1427"/>
      <c r="AP20" s="1247" t="s">
        <v>19</v>
      </c>
      <c r="AQ20" s="1426"/>
      <c r="AR20" s="484">
        <v>1</v>
      </c>
      <c r="AS20" s="1427"/>
      <c r="AT20" s="262"/>
      <c r="AU20" s="320"/>
      <c r="AV20" s="262"/>
      <c r="AW20" s="320"/>
      <c r="AX20" s="1657"/>
      <c r="AY20" s="1383" t="s">
        <v>63</v>
      </c>
      <c r="AZ20" s="1657"/>
      <c r="BA20" s="1383" t="s">
        <v>63</v>
      </c>
      <c r="BI20" s="1078">
        <v>0</v>
      </c>
    </row>
    <row r="21" spans="1:61" ht="14.25" hidden="1" customHeight="1">
      <c r="BD21" s="432"/>
      <c r="BE21" s="432"/>
      <c r="BF21" s="432"/>
      <c r="BG21" s="432"/>
      <c r="BH21" s="432"/>
      <c r="BI21" s="1078">
        <v>0</v>
      </c>
    </row>
    <row r="22" spans="1:61" ht="14.25" hidden="1" customHeight="1">
      <c r="O22" s="1290" t="s">
        <v>436</v>
      </c>
      <c r="Z22" s="1268"/>
      <c r="AB22" s="1268"/>
      <c r="AC22" s="264"/>
      <c r="AX22" s="1268"/>
      <c r="AZ22" s="1268"/>
      <c r="BA22" s="264"/>
      <c r="BD22" s="432"/>
      <c r="BE22" s="432"/>
      <c r="BF22" s="432"/>
      <c r="BG22" s="432"/>
      <c r="BH22" s="432"/>
      <c r="BI22" s="1078">
        <v>0</v>
      </c>
    </row>
    <row r="23" spans="1:61" ht="14.25" hidden="1" customHeight="1">
      <c r="AC23" s="264"/>
      <c r="BA23" s="264"/>
      <c r="BD23" s="432"/>
      <c r="BE23" s="432"/>
      <c r="BF23" s="432"/>
      <c r="BG23" s="432"/>
      <c r="BH23" s="432"/>
      <c r="BI23" s="1078">
        <v>0</v>
      </c>
    </row>
    <row r="24" spans="1:61" s="1432" customFormat="1" ht="14.25" hidden="1" customHeight="1">
      <c r="M24" s="1431"/>
      <c r="N24" s="1431"/>
      <c r="O24" s="1432" t="s">
        <v>437</v>
      </c>
      <c r="P24" s="1431"/>
      <c r="Q24" s="1433"/>
      <c r="R24" s="1433"/>
      <c r="AA24" s="1430" t="s">
        <v>439</v>
      </c>
      <c r="AC24" s="1430" t="s">
        <v>440</v>
      </c>
      <c r="AD24" s="1430" t="s">
        <v>484</v>
      </c>
      <c r="AH24" s="1430" t="s">
        <v>484</v>
      </c>
      <c r="AK24" s="1430" t="s">
        <v>521</v>
      </c>
      <c r="AL24" s="1430" t="s">
        <v>484</v>
      </c>
      <c r="AP24" s="1430" t="s">
        <v>484</v>
      </c>
      <c r="AY24" s="1430" t="s">
        <v>439</v>
      </c>
      <c r="BA24" s="1430" t="s">
        <v>440</v>
      </c>
      <c r="BD24" s="1434"/>
      <c r="BE24" s="1434"/>
      <c r="BF24" s="1434"/>
      <c r="BG24" s="1434"/>
      <c r="BH24" s="1434"/>
      <c r="BI24" s="1430">
        <v>0</v>
      </c>
    </row>
    <row r="25" spans="1:61" ht="14.25" hidden="1" customHeight="1">
      <c r="O25" s="1287"/>
      <c r="BD25" s="432"/>
      <c r="BE25" s="432"/>
      <c r="BF25" s="432"/>
      <c r="BG25" s="432"/>
      <c r="BH25" s="432"/>
      <c r="BI25" s="1078">
        <v>0</v>
      </c>
    </row>
    <row r="26" spans="1:61" ht="14.25" hidden="1" customHeight="1">
      <c r="O26" s="1287"/>
      <c r="BD26" s="432"/>
      <c r="BE26" s="432"/>
      <c r="BF26" s="432"/>
      <c r="BG26" s="432"/>
      <c r="BH26" s="432"/>
      <c r="BI26" s="1078">
        <v>0</v>
      </c>
    </row>
    <row r="27" spans="1:61" ht="14.65" customHeight="1">
      <c r="Q27" s="228"/>
      <c r="R27" s="312"/>
      <c r="S27" s="1198"/>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78">
        <v>14</v>
      </c>
    </row>
    <row r="28" spans="1:61" ht="14.65" customHeight="1">
      <c r="Q28" s="228"/>
      <c r="R28" s="312"/>
      <c r="S28" s="249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490"/>
      <c r="U28" s="2490"/>
      <c r="V28" s="2490"/>
      <c r="W28" s="2490"/>
      <c r="X28" s="2490"/>
      <c r="Y28" s="2490"/>
      <c r="Z28" s="2490"/>
      <c r="AA28" s="2490"/>
      <c r="AB28" s="2490"/>
      <c r="AC28" s="2490"/>
      <c r="AD28" s="2490"/>
      <c r="AE28" s="2490"/>
      <c r="AF28" s="2490"/>
      <c r="AG28" s="2490"/>
      <c r="AH28" s="2490"/>
      <c r="AI28" s="2490"/>
      <c r="AJ28" s="2490"/>
      <c r="AK28" s="2490"/>
      <c r="AL28" s="2490"/>
      <c r="AM28" s="2490"/>
      <c r="AN28" s="2490"/>
      <c r="AO28" s="2490"/>
      <c r="AP28" s="2490"/>
      <c r="AQ28" s="2490"/>
      <c r="AR28" s="2490"/>
      <c r="AS28" s="2490"/>
      <c r="AT28" s="2490"/>
      <c r="AU28" s="2490"/>
      <c r="AV28" s="2490"/>
      <c r="AW28" s="2490"/>
      <c r="AX28" s="2490"/>
      <c r="AY28" s="2490"/>
      <c r="AZ28" s="2490"/>
      <c r="BA28" s="1166"/>
      <c r="BI28" s="1078">
        <v>14</v>
      </c>
    </row>
    <row r="29" spans="1:61" ht="14.65" customHeight="1">
      <c r="Q29" s="228"/>
      <c r="R29" s="312"/>
      <c r="S29" s="2436" t="str">
        <f>IF(org=0,"Не определено",org)</f>
        <v>ПАО "ТГК-2"</v>
      </c>
      <c r="T29" s="2436"/>
      <c r="U29" s="2436"/>
      <c r="V29" s="2436"/>
      <c r="W29" s="2436"/>
      <c r="X29" s="2436"/>
      <c r="Y29" s="2436"/>
      <c r="Z29" s="2436"/>
      <c r="AA29" s="2436"/>
      <c r="AB29" s="2436"/>
      <c r="AC29" s="2436"/>
      <c r="AD29" s="2436"/>
      <c r="AE29" s="2436"/>
      <c r="AF29" s="2436"/>
      <c r="AG29" s="2436"/>
      <c r="AH29" s="2436"/>
      <c r="AI29" s="2436"/>
      <c r="AJ29" s="2436"/>
      <c r="AK29" s="2436"/>
      <c r="AL29" s="2436"/>
      <c r="AM29" s="2436"/>
      <c r="AN29" s="2436"/>
      <c r="AO29" s="2436"/>
      <c r="AP29" s="2436"/>
      <c r="AQ29" s="2436"/>
      <c r="AR29" s="2436"/>
      <c r="AS29" s="2436"/>
      <c r="AT29" s="2436"/>
      <c r="AU29" s="2436"/>
      <c r="AV29" s="2436"/>
      <c r="AW29" s="2436"/>
      <c r="AX29" s="2436"/>
      <c r="AY29" s="2436"/>
      <c r="AZ29" s="2436"/>
      <c r="BA29" s="1166"/>
      <c r="BI29" s="1078">
        <v>14</v>
      </c>
    </row>
    <row r="30" spans="1:61" ht="14.25" hidden="1" customHeight="1">
      <c r="Q30" s="228"/>
      <c r="R30" s="312"/>
      <c r="S30" s="1198"/>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78">
        <v>0</v>
      </c>
    </row>
    <row r="31" spans="1:61" s="1770" customFormat="1" ht="25.5" hidden="1" customHeight="1">
      <c r="A31" s="1291"/>
      <c r="B31" s="1291"/>
      <c r="C31" s="1291"/>
      <c r="D31" s="1291"/>
      <c r="E31" s="1291"/>
      <c r="F31" s="1291"/>
      <c r="G31" s="1291"/>
      <c r="H31" s="1291"/>
      <c r="I31" s="1291"/>
      <c r="J31" s="1291"/>
      <c r="K31" s="1291"/>
      <c r="L31" s="1292"/>
      <c r="M31" s="1291"/>
      <c r="N31" s="1291"/>
      <c r="O31" s="1291"/>
      <c r="P31" s="1291"/>
      <c r="Q31" s="1291"/>
      <c r="S31" s="2498" t="s">
        <v>42</v>
      </c>
      <c r="T31" s="2498"/>
      <c r="U31" s="1295"/>
      <c r="V31" s="2499" t="str">
        <f>IF(TITLE_NAME_OR_PR_CHANGE="",IF(TITLE_NAME_OR_PR="","",TITLE_NAME_OR_PR),TITLE_NAME_OR_PR_CHANGE)</f>
        <v/>
      </c>
      <c r="W31" s="2499"/>
      <c r="X31" s="2499"/>
      <c r="Y31" s="2499"/>
      <c r="Z31" s="2499"/>
      <c r="AA31" s="2499"/>
      <c r="AB31" s="2499"/>
      <c r="AC31" s="263"/>
      <c r="AD31" s="2499" t="str">
        <f>IF(TITLE_NAME_OR_PR_CHANGE="",IF(TITLE_NAME_OR_PR="","",TITLE_NAME_OR_PR),TITLE_NAME_OR_PR_CHANGE)</f>
        <v/>
      </c>
      <c r="AE31" s="2499"/>
      <c r="AF31" s="2499"/>
      <c r="AG31" s="2499"/>
      <c r="AH31" s="2499"/>
      <c r="AI31" s="2499"/>
      <c r="AJ31" s="2499"/>
      <c r="AK31" s="2499"/>
      <c r="AL31" s="2499"/>
      <c r="AM31" s="2499"/>
      <c r="AN31" s="2499"/>
      <c r="AO31" s="2499"/>
      <c r="AP31" s="2499"/>
      <c r="AQ31" s="2499"/>
      <c r="AR31" s="2499"/>
      <c r="AS31" s="2499"/>
      <c r="AT31" s="2499"/>
      <c r="AU31" s="2499"/>
      <c r="AV31" s="2499"/>
      <c r="AW31" s="2499"/>
      <c r="AX31" s="2499"/>
      <c r="AY31" s="2499"/>
      <c r="AZ31" s="2499"/>
      <c r="BA31" s="263"/>
      <c r="BB31" s="263"/>
      <c r="BC31" s="217"/>
      <c r="BD31" s="304"/>
      <c r="BE31" s="304"/>
      <c r="BF31" s="304"/>
      <c r="BG31" s="304"/>
      <c r="BH31" s="304"/>
      <c r="BI31" s="354">
        <v>0</v>
      </c>
    </row>
    <row r="32" spans="1:61" s="1770" customFormat="1" ht="18.75" hidden="1" customHeight="1">
      <c r="A32" s="1291"/>
      <c r="B32" s="1291"/>
      <c r="C32" s="1291"/>
      <c r="D32" s="1291"/>
      <c r="E32" s="1291"/>
      <c r="F32" s="1291"/>
      <c r="G32" s="1291"/>
      <c r="H32" s="1291"/>
      <c r="I32" s="1291"/>
      <c r="J32" s="1291"/>
      <c r="K32" s="1291"/>
      <c r="L32" s="1292"/>
      <c r="M32" s="1291"/>
      <c r="N32" s="1291"/>
      <c r="O32" s="1291"/>
      <c r="P32" s="1291"/>
      <c r="Q32" s="1291"/>
      <c r="S32" s="2498" t="s">
        <v>522</v>
      </c>
      <c r="T32" s="2498"/>
      <c r="U32" s="1295"/>
      <c r="V32" s="2508" t="str">
        <f>IF(TITLE_DATE_PR_CHANGE="",IF(TITLE_DATE_PR="","",TITLE_DATE_PR),TITLE_DATE_PR_CHANGE)</f>
        <v/>
      </c>
      <c r="W32" s="2508"/>
      <c r="X32" s="2508"/>
      <c r="Y32" s="2508"/>
      <c r="Z32" s="2508"/>
      <c r="AA32" s="2508"/>
      <c r="AB32" s="2508"/>
      <c r="AC32" s="263"/>
      <c r="AD32" s="2508" t="str">
        <f>IF(TITLE_DATE_PR_CHANGE="",IF(TITLE_DATE_PR="","",TITLE_DATE_PR),TITLE_DATE_PR_CHANGE)</f>
        <v/>
      </c>
      <c r="AE32" s="2508"/>
      <c r="AF32" s="2508"/>
      <c r="AG32" s="2508"/>
      <c r="AH32" s="2508"/>
      <c r="AI32" s="2508"/>
      <c r="AJ32" s="2508"/>
      <c r="AK32" s="2508"/>
      <c r="AL32" s="2508"/>
      <c r="AM32" s="2508"/>
      <c r="AN32" s="2508"/>
      <c r="AO32" s="2508"/>
      <c r="AP32" s="2508"/>
      <c r="AQ32" s="2508"/>
      <c r="AR32" s="2508"/>
      <c r="AS32" s="2508"/>
      <c r="AT32" s="2508"/>
      <c r="AU32" s="2508"/>
      <c r="AV32" s="2508"/>
      <c r="AW32" s="2508"/>
      <c r="AX32" s="2508"/>
      <c r="AY32" s="2508"/>
      <c r="AZ32" s="2508"/>
      <c r="BA32" s="263"/>
      <c r="BB32" s="263"/>
      <c r="BC32" s="217"/>
      <c r="BD32" s="304"/>
      <c r="BE32" s="304"/>
      <c r="BF32" s="304"/>
      <c r="BG32" s="304"/>
      <c r="BH32" s="304"/>
      <c r="BI32" s="354">
        <v>0</v>
      </c>
    </row>
    <row r="33" spans="1:61" s="1770" customFormat="1" ht="18.75" hidden="1" customHeight="1">
      <c r="A33" s="1291"/>
      <c r="B33" s="1291"/>
      <c r="C33" s="1291"/>
      <c r="D33" s="1291"/>
      <c r="E33" s="1291"/>
      <c r="F33" s="1291"/>
      <c r="G33" s="1291"/>
      <c r="H33" s="1291"/>
      <c r="I33" s="1291"/>
      <c r="J33" s="1291"/>
      <c r="K33" s="1291"/>
      <c r="L33" s="1292"/>
      <c r="M33" s="1291"/>
      <c r="N33" s="1291"/>
      <c r="O33" s="1291"/>
      <c r="P33" s="1291"/>
      <c r="Q33" s="1291"/>
      <c r="S33" s="2498" t="s">
        <v>523</v>
      </c>
      <c r="T33" s="2498"/>
      <c r="U33" s="1295"/>
      <c r="V33" s="2499" t="str">
        <f>IF(TITLE_NUMBER_PR_CHANGE="",IF(TITLE_NUMBER_PR="","",TITLE_NUMBER_PR),TITLE_NUMBER_PR_CHANGE)</f>
        <v/>
      </c>
      <c r="W33" s="2499"/>
      <c r="X33" s="2499"/>
      <c r="Y33" s="2499"/>
      <c r="Z33" s="2499"/>
      <c r="AA33" s="2499"/>
      <c r="AB33" s="2499"/>
      <c r="AC33" s="263"/>
      <c r="AD33" s="2499" t="str">
        <f>IF(TITLE_NUMBER_PR_CHANGE="",IF(TITLE_NUMBER_PR="","",TITLE_NUMBER_PR),TITLE_NUMBER_PR_CHANGE)</f>
        <v/>
      </c>
      <c r="AE33" s="2499"/>
      <c r="AF33" s="2499"/>
      <c r="AG33" s="2499"/>
      <c r="AH33" s="2499"/>
      <c r="AI33" s="2499"/>
      <c r="AJ33" s="2499"/>
      <c r="AK33" s="2499"/>
      <c r="AL33" s="2499"/>
      <c r="AM33" s="2499"/>
      <c r="AN33" s="2499"/>
      <c r="AO33" s="2499"/>
      <c r="AP33" s="2499"/>
      <c r="AQ33" s="2499"/>
      <c r="AR33" s="2499"/>
      <c r="AS33" s="2499"/>
      <c r="AT33" s="2499"/>
      <c r="AU33" s="2499"/>
      <c r="AV33" s="2499"/>
      <c r="AW33" s="2499"/>
      <c r="AX33" s="2499"/>
      <c r="AY33" s="2499"/>
      <c r="AZ33" s="2499"/>
      <c r="BA33" s="263"/>
      <c r="BB33" s="263"/>
      <c r="BC33" s="217"/>
      <c r="BD33" s="304"/>
      <c r="BE33" s="304"/>
      <c r="BF33" s="304"/>
      <c r="BG33" s="304"/>
      <c r="BH33" s="304"/>
      <c r="BI33" s="354">
        <v>0</v>
      </c>
    </row>
    <row r="34" spans="1:61" s="1770" customFormat="1" ht="18.75" hidden="1" customHeight="1">
      <c r="A34" s="1291"/>
      <c r="B34" s="1291"/>
      <c r="C34" s="1291"/>
      <c r="D34" s="1291"/>
      <c r="E34" s="1291"/>
      <c r="F34" s="1291"/>
      <c r="G34" s="1291"/>
      <c r="H34" s="1291"/>
      <c r="I34" s="1291"/>
      <c r="J34" s="1291"/>
      <c r="K34" s="1291"/>
      <c r="L34" s="1292"/>
      <c r="M34" s="1291"/>
      <c r="N34" s="1291"/>
      <c r="O34" s="1291"/>
      <c r="P34" s="1291"/>
      <c r="Q34" s="1291"/>
      <c r="S34" s="2498" t="s">
        <v>43</v>
      </c>
      <c r="T34" s="2498"/>
      <c r="U34" s="1295"/>
      <c r="V34" s="2499" t="str">
        <f>IF(TITLE_IST_PUB_CHANGE="",IF(TITLE_IST_PUB="","",TITLE_IST_PUB),TITLE_IST_PUB_CHANGE)</f>
        <v/>
      </c>
      <c r="W34" s="2499"/>
      <c r="X34" s="2499"/>
      <c r="Y34" s="2499"/>
      <c r="Z34" s="2499"/>
      <c r="AA34" s="2499"/>
      <c r="AB34" s="2499"/>
      <c r="AC34" s="263"/>
      <c r="AD34" s="2499" t="str">
        <f>IF(TITLE_IST_PUB_CHANGE="",IF(TITLE_IST_PUB="","",TITLE_IST_PUB),TITLE_IST_PUB_CHANGE)</f>
        <v/>
      </c>
      <c r="AE34" s="2499"/>
      <c r="AF34" s="2499"/>
      <c r="AG34" s="2499"/>
      <c r="AH34" s="2499"/>
      <c r="AI34" s="2499"/>
      <c r="AJ34" s="2499"/>
      <c r="AK34" s="2499"/>
      <c r="AL34" s="2499"/>
      <c r="AM34" s="2499"/>
      <c r="AN34" s="2499"/>
      <c r="AO34" s="2499"/>
      <c r="AP34" s="2499"/>
      <c r="AQ34" s="2499"/>
      <c r="AR34" s="2499"/>
      <c r="AS34" s="2499"/>
      <c r="AT34" s="2499"/>
      <c r="AU34" s="2499"/>
      <c r="AV34" s="2499"/>
      <c r="AW34" s="2499"/>
      <c r="AX34" s="2499"/>
      <c r="AY34" s="2499"/>
      <c r="AZ34" s="2499"/>
      <c r="BA34" s="263"/>
      <c r="BB34" s="263"/>
      <c r="BC34" s="217"/>
      <c r="BD34" s="304"/>
      <c r="BE34" s="304"/>
      <c r="BF34" s="304"/>
      <c r="BG34" s="304"/>
      <c r="BH34" s="304"/>
      <c r="BI34" s="354">
        <v>0</v>
      </c>
    </row>
    <row r="35" spans="1:61" ht="14.25" hidden="1" customHeight="1">
      <c r="Q35" s="228"/>
      <c r="R35" s="312"/>
      <c r="S35" s="1198"/>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78">
        <v>0</v>
      </c>
    </row>
    <row r="36" spans="1:61" s="1770" customFormat="1" ht="18.75" hidden="1" customHeight="1">
      <c r="A36" s="1291"/>
      <c r="B36" s="1291"/>
      <c r="C36" s="1291"/>
      <c r="D36" s="1291"/>
      <c r="E36" s="1291"/>
      <c r="F36" s="1291"/>
      <c r="G36" s="1291"/>
      <c r="H36" s="1291"/>
      <c r="I36" s="1291"/>
      <c r="J36" s="1291"/>
      <c r="K36" s="1291"/>
      <c r="L36" s="1292"/>
      <c r="M36" s="1291"/>
      <c r="N36" s="1291"/>
      <c r="O36" s="1291"/>
      <c r="P36" s="1291"/>
      <c r="Q36" s="1291"/>
      <c r="S36" s="2498" t="s">
        <v>522</v>
      </c>
      <c r="T36" s="2498"/>
      <c r="U36" s="1295"/>
      <c r="V36" s="2508" t="str">
        <f>IF(TITLE_DATE_PR_CHANGE="",IF(TITLE_DATE_PR="","",TITLE_DATE_PR),TITLE_DATE_PR_CHANGE)</f>
        <v/>
      </c>
      <c r="W36" s="2508"/>
      <c r="X36" s="2508"/>
      <c r="Y36" s="2508"/>
      <c r="Z36" s="2508"/>
      <c r="AA36" s="2508"/>
      <c r="AB36" s="2508"/>
      <c r="AC36" s="263"/>
      <c r="AD36" s="2508" t="str">
        <f>IF(TITLE_DATE_PR_CHANGE="",IF(TITLE_DATE_PR="","",TITLE_DATE_PR),TITLE_DATE_PR_CHANGE)</f>
        <v/>
      </c>
      <c r="AE36" s="2508"/>
      <c r="AF36" s="2508"/>
      <c r="AG36" s="2508"/>
      <c r="AH36" s="2508"/>
      <c r="AI36" s="2508"/>
      <c r="AJ36" s="2508"/>
      <c r="AK36" s="2508"/>
      <c r="AL36" s="2508"/>
      <c r="AM36" s="2508"/>
      <c r="AN36" s="2508"/>
      <c r="AO36" s="2508"/>
      <c r="AP36" s="2508"/>
      <c r="AQ36" s="2508"/>
      <c r="AR36" s="2508"/>
      <c r="AS36" s="2508"/>
      <c r="AT36" s="2508"/>
      <c r="AU36" s="2508"/>
      <c r="AV36" s="2508"/>
      <c r="AW36" s="2508"/>
      <c r="AX36" s="2508"/>
      <c r="AY36" s="2508"/>
      <c r="AZ36" s="2508"/>
      <c r="BA36" s="263"/>
      <c r="BB36" s="263"/>
      <c r="BC36" s="217"/>
      <c r="BD36" s="304"/>
      <c r="BE36" s="304"/>
      <c r="BF36" s="304"/>
      <c r="BG36" s="304"/>
      <c r="BH36" s="304"/>
      <c r="BI36" s="354">
        <v>0</v>
      </c>
    </row>
    <row r="37" spans="1:61" s="1770" customFormat="1" ht="18.75" hidden="1" customHeight="1">
      <c r="A37" s="1291"/>
      <c r="B37" s="1291"/>
      <c r="C37" s="1291"/>
      <c r="D37" s="1291"/>
      <c r="E37" s="1291"/>
      <c r="F37" s="1291"/>
      <c r="G37" s="1291"/>
      <c r="H37" s="1291"/>
      <c r="I37" s="1291"/>
      <c r="J37" s="1291"/>
      <c r="K37" s="1291"/>
      <c r="L37" s="1292"/>
      <c r="M37" s="1291"/>
      <c r="N37" s="1291"/>
      <c r="O37" s="1291"/>
      <c r="P37" s="1291"/>
      <c r="Q37" s="1291"/>
      <c r="S37" s="2498" t="s">
        <v>523</v>
      </c>
      <c r="T37" s="2498"/>
      <c r="U37" s="1295"/>
      <c r="V37" s="2499" t="str">
        <f>IF(TITLE_NUMBER_PR_CHANGE="",IF(TITLE_NUMBER_PR="","",TITLE_NUMBER_PR),TITLE_NUMBER_PR_CHANGE)</f>
        <v/>
      </c>
      <c r="W37" s="2499"/>
      <c r="X37" s="2499"/>
      <c r="Y37" s="2499"/>
      <c r="Z37" s="2499"/>
      <c r="AA37" s="2499"/>
      <c r="AB37" s="2499"/>
      <c r="AC37" s="263"/>
      <c r="AD37" s="2499" t="str">
        <f>IF(TITLE_NUMBER_PR_CHANGE="",IF(TITLE_NUMBER_PR="","",TITLE_NUMBER_PR),TITLE_NUMBER_PR_CHANGE)</f>
        <v/>
      </c>
      <c r="AE37" s="2499"/>
      <c r="AF37" s="2499"/>
      <c r="AG37" s="2499"/>
      <c r="AH37" s="2499"/>
      <c r="AI37" s="2499"/>
      <c r="AJ37" s="2499"/>
      <c r="AK37" s="2499"/>
      <c r="AL37" s="2499"/>
      <c r="AM37" s="2499"/>
      <c r="AN37" s="2499"/>
      <c r="AO37" s="2499"/>
      <c r="AP37" s="2499"/>
      <c r="AQ37" s="2499"/>
      <c r="AR37" s="2499"/>
      <c r="AS37" s="2499"/>
      <c r="AT37" s="2499"/>
      <c r="AU37" s="2499"/>
      <c r="AV37" s="2499"/>
      <c r="AW37" s="2499"/>
      <c r="AX37" s="2499"/>
      <c r="AY37" s="2499"/>
      <c r="AZ37" s="2499"/>
      <c r="BA37" s="263"/>
      <c r="BB37" s="263"/>
      <c r="BC37" s="217"/>
      <c r="BD37" s="304"/>
      <c r="BE37" s="304"/>
      <c r="BF37" s="304"/>
      <c r="BG37" s="304"/>
      <c r="BH37" s="304"/>
      <c r="BI37" s="354">
        <v>0</v>
      </c>
    </row>
    <row r="38" spans="1:61" s="1770" customFormat="1" ht="0" hidden="1" customHeight="1">
      <c r="A38" s="1291"/>
      <c r="B38" s="1291"/>
      <c r="C38" s="1291"/>
      <c r="D38" s="1291"/>
      <c r="E38" s="1291"/>
      <c r="F38" s="1291"/>
      <c r="G38" s="1291"/>
      <c r="H38" s="1291"/>
      <c r="I38" s="1291"/>
      <c r="J38" s="1291"/>
      <c r="K38" s="1291"/>
      <c r="L38" s="1292"/>
      <c r="M38" s="1291"/>
      <c r="N38" s="1291"/>
      <c r="O38" s="1291"/>
      <c r="P38" s="1291"/>
      <c r="Q38" s="1291"/>
      <c r="S38" s="260"/>
      <c r="T38" s="260"/>
      <c r="U38" s="1377"/>
      <c r="V38" s="263"/>
      <c r="W38" s="263"/>
      <c r="X38" s="263"/>
      <c r="Y38" s="263"/>
      <c r="Z38" s="263"/>
      <c r="AA38" s="263"/>
      <c r="AB38" s="263"/>
      <c r="AC38" s="215" t="s">
        <v>442</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442</v>
      </c>
      <c r="BD38" s="304"/>
      <c r="BE38" s="304"/>
      <c r="BF38" s="304"/>
      <c r="BG38" s="304"/>
      <c r="BH38" s="304"/>
      <c r="BI38" s="354">
        <v>0</v>
      </c>
    </row>
    <row r="39" spans="1:61" ht="14.65" customHeight="1">
      <c r="Q39" s="228"/>
      <c r="R39" s="312"/>
      <c r="S39" s="1198"/>
      <c r="T39" s="299"/>
      <c r="U39" s="1167"/>
      <c r="V39" s="2500"/>
      <c r="W39" s="2500"/>
      <c r="X39" s="2500"/>
      <c r="Y39" s="2500"/>
      <c r="Z39" s="2500"/>
      <c r="AA39" s="2500"/>
      <c r="AB39" s="2500"/>
      <c r="AC39" s="2500"/>
      <c r="AD39" s="2500"/>
      <c r="AE39" s="2500"/>
      <c r="AF39" s="2500"/>
      <c r="AG39" s="2500"/>
      <c r="AH39" s="2500"/>
      <c r="AI39" s="2500"/>
      <c r="AJ39" s="2500"/>
      <c r="AK39" s="2500"/>
      <c r="AL39" s="2500"/>
      <c r="AM39" s="2500"/>
      <c r="AN39" s="2500"/>
      <c r="AO39" s="2500"/>
      <c r="AP39" s="2500"/>
      <c r="AQ39" s="2500"/>
      <c r="AR39" s="2500"/>
      <c r="AS39" s="2500"/>
      <c r="AT39" s="2500"/>
      <c r="AU39" s="2500"/>
      <c r="AV39" s="2500"/>
      <c r="AW39" s="2500"/>
      <c r="AX39" s="2500"/>
      <c r="AY39" s="2500"/>
      <c r="AZ39" s="2500"/>
      <c r="BA39" s="2500"/>
      <c r="BI39" s="1078">
        <v>14</v>
      </c>
    </row>
    <row r="40" spans="1:61" ht="14.65" customHeight="1">
      <c r="Q40" s="228"/>
      <c r="R40" s="312"/>
      <c r="S40" s="2371" t="s">
        <v>319</v>
      </c>
      <c r="T40" s="2371"/>
      <c r="U40" s="2371"/>
      <c r="V40" s="2371"/>
      <c r="W40" s="2371"/>
      <c r="X40" s="2371"/>
      <c r="Y40" s="2371"/>
      <c r="Z40" s="2371"/>
      <c r="AA40" s="2371"/>
      <c r="AB40" s="2371"/>
      <c r="AC40" s="2371"/>
      <c r="AD40" s="2371"/>
      <c r="AE40" s="2371"/>
      <c r="AF40" s="2371"/>
      <c r="AG40" s="2371"/>
      <c r="AH40" s="2371"/>
      <c r="AI40" s="2371"/>
      <c r="AJ40" s="2371"/>
      <c r="AK40" s="2371"/>
      <c r="AL40" s="2371"/>
      <c r="AM40" s="2371"/>
      <c r="AN40" s="2371"/>
      <c r="AO40" s="2371"/>
      <c r="AP40" s="2371"/>
      <c r="AQ40" s="2371"/>
      <c r="AR40" s="2371"/>
      <c r="AS40" s="2371"/>
      <c r="AT40" s="2371"/>
      <c r="AU40" s="2371"/>
      <c r="AV40" s="2371"/>
      <c r="AW40" s="2371"/>
      <c r="AX40" s="2371"/>
      <c r="AY40" s="2371"/>
      <c r="AZ40" s="2371"/>
      <c r="BA40" s="2371"/>
      <c r="BB40" s="2371"/>
      <c r="BC40" s="2371" t="s">
        <v>320</v>
      </c>
      <c r="BI40" s="1078">
        <v>14</v>
      </c>
    </row>
    <row r="41" spans="1:61" ht="14.65" customHeight="1">
      <c r="Q41" s="228"/>
      <c r="R41" s="312"/>
      <c r="S41" s="2514" t="s">
        <v>89</v>
      </c>
      <c r="T41" s="2466" t="s">
        <v>524</v>
      </c>
      <c r="U41" s="238"/>
      <c r="V41" s="2515" t="s">
        <v>444</v>
      </c>
      <c r="W41" s="2516"/>
      <c r="X41" s="2516"/>
      <c r="Y41" s="2516"/>
      <c r="Z41" s="2516"/>
      <c r="AA41" s="2516"/>
      <c r="AB41" s="2517"/>
      <c r="AC41" s="2518" t="s">
        <v>445</v>
      </c>
      <c r="AD41" s="2551" t="s">
        <v>525</v>
      </c>
      <c r="AE41" s="2532"/>
      <c r="AF41" s="2532"/>
      <c r="AG41" s="2552"/>
      <c r="AH41" s="2551" t="s">
        <v>526</v>
      </c>
      <c r="AI41" s="2532"/>
      <c r="AJ41" s="2532"/>
      <c r="AK41" s="2552"/>
      <c r="AL41" s="2551" t="s">
        <v>527</v>
      </c>
      <c r="AM41" s="2532"/>
      <c r="AN41" s="2532"/>
      <c r="AO41" s="2552"/>
      <c r="AP41" s="2551" t="s">
        <v>528</v>
      </c>
      <c r="AQ41" s="2532"/>
      <c r="AR41" s="2532"/>
      <c r="AS41" s="2552"/>
      <c r="AT41" s="2515" t="s">
        <v>444</v>
      </c>
      <c r="AU41" s="2516"/>
      <c r="AV41" s="2516"/>
      <c r="AW41" s="2516"/>
      <c r="AX41" s="2516"/>
      <c r="AY41" s="2516"/>
      <c r="AZ41" s="2517"/>
      <c r="BA41" s="2518" t="s">
        <v>445</v>
      </c>
      <c r="BB41" s="2521" t="s">
        <v>447</v>
      </c>
      <c r="BC41" s="2371"/>
      <c r="BI41" s="1078">
        <v>14</v>
      </c>
    </row>
    <row r="42" spans="1:61" ht="35.65" customHeight="1">
      <c r="Q42" s="228"/>
      <c r="R42" s="312"/>
      <c r="S42" s="2514"/>
      <c r="T42" s="2466"/>
      <c r="U42" s="958"/>
      <c r="V42" s="2452" t="s">
        <v>529</v>
      </c>
      <c r="W42" s="2453"/>
      <c r="X42" s="2452" t="s">
        <v>530</v>
      </c>
      <c r="Y42" s="2453"/>
      <c r="Z42" s="2452" t="s">
        <v>531</v>
      </c>
      <c r="AA42" s="2546"/>
      <c r="AB42" s="2453"/>
      <c r="AC42" s="2519"/>
      <c r="AD42" s="2553"/>
      <c r="AE42" s="2554"/>
      <c r="AF42" s="2554"/>
      <c r="AG42" s="2555"/>
      <c r="AH42" s="2553"/>
      <c r="AI42" s="2554"/>
      <c r="AJ42" s="2554"/>
      <c r="AK42" s="2555"/>
      <c r="AL42" s="2553"/>
      <c r="AM42" s="2554"/>
      <c r="AN42" s="2554"/>
      <c r="AO42" s="2555"/>
      <c r="AP42" s="2553"/>
      <c r="AQ42" s="2554"/>
      <c r="AR42" s="2554"/>
      <c r="AS42" s="2555"/>
      <c r="AT42" s="2452" t="s">
        <v>529</v>
      </c>
      <c r="AU42" s="2453"/>
      <c r="AV42" s="2452" t="s">
        <v>530</v>
      </c>
      <c r="AW42" s="2453"/>
      <c r="AX42" s="2452" t="s">
        <v>531</v>
      </c>
      <c r="AY42" s="2546"/>
      <c r="AZ42" s="2453"/>
      <c r="BA42" s="2519"/>
      <c r="BB42" s="2522"/>
      <c r="BC42" s="2371"/>
      <c r="BI42" s="1078">
        <v>34</v>
      </c>
    </row>
    <row r="43" spans="1:61" ht="14.65" customHeight="1">
      <c r="Q43" s="228"/>
      <c r="R43" s="312"/>
      <c r="S43" s="2514"/>
      <c r="T43" s="2466"/>
      <c r="U43" s="958"/>
      <c r="V43" s="2457"/>
      <c r="W43" s="2458"/>
      <c r="X43" s="2457"/>
      <c r="Y43" s="2458"/>
      <c r="Z43" s="2457"/>
      <c r="AA43" s="2547"/>
      <c r="AB43" s="2458"/>
      <c r="AC43" s="2519"/>
      <c r="AD43" s="2553"/>
      <c r="AE43" s="2554"/>
      <c r="AF43" s="2554"/>
      <c r="AG43" s="2555"/>
      <c r="AH43" s="2553"/>
      <c r="AI43" s="2554"/>
      <c r="AJ43" s="2554"/>
      <c r="AK43" s="2555"/>
      <c r="AL43" s="2553"/>
      <c r="AM43" s="2554"/>
      <c r="AN43" s="2554"/>
      <c r="AO43" s="2555"/>
      <c r="AP43" s="2553"/>
      <c r="AQ43" s="2554"/>
      <c r="AR43" s="2554"/>
      <c r="AS43" s="2555"/>
      <c r="AT43" s="2457"/>
      <c r="AU43" s="2458"/>
      <c r="AV43" s="2457"/>
      <c r="AW43" s="2458"/>
      <c r="AX43" s="2457"/>
      <c r="AY43" s="2547"/>
      <c r="AZ43" s="2458"/>
      <c r="BA43" s="2519"/>
      <c r="BB43" s="2522"/>
      <c r="BC43" s="2371"/>
      <c r="BI43" s="1078">
        <v>14</v>
      </c>
    </row>
    <row r="44" spans="1:61" ht="14.65" customHeight="1">
      <c r="A44" s="1293"/>
      <c r="B44" s="1293" t="s">
        <v>156</v>
      </c>
      <c r="C44" s="1293" t="s">
        <v>157</v>
      </c>
      <c r="D44" s="1293" t="s">
        <v>158</v>
      </c>
      <c r="E44" s="1287" t="s">
        <v>452</v>
      </c>
      <c r="F44" s="1287" t="s">
        <v>453</v>
      </c>
      <c r="G44" s="1287" t="s">
        <v>454</v>
      </c>
      <c r="H44" s="1287" t="s">
        <v>455</v>
      </c>
      <c r="I44" s="1287" t="s">
        <v>456</v>
      </c>
      <c r="J44" s="1287" t="s">
        <v>457</v>
      </c>
      <c r="K44" s="1287" t="s">
        <v>458</v>
      </c>
      <c r="L44" s="1287" t="s">
        <v>437</v>
      </c>
      <c r="Q44" s="228"/>
      <c r="R44" s="312"/>
      <c r="S44" s="2514"/>
      <c r="T44" s="2466"/>
      <c r="U44" s="239"/>
      <c r="V44" s="1371" t="s">
        <v>493</v>
      </c>
      <c r="W44" s="1371" t="s">
        <v>494</v>
      </c>
      <c r="X44" s="1371" t="s">
        <v>493</v>
      </c>
      <c r="Y44" s="1371" t="s">
        <v>494</v>
      </c>
      <c r="Z44" s="1378" t="s">
        <v>461</v>
      </c>
      <c r="AA44" s="2474" t="s">
        <v>462</v>
      </c>
      <c r="AB44" s="2476"/>
      <c r="AC44" s="2520"/>
      <c r="AD44" s="2556"/>
      <c r="AE44" s="2557"/>
      <c r="AF44" s="2557"/>
      <c r="AG44" s="2558"/>
      <c r="AH44" s="2556"/>
      <c r="AI44" s="2557"/>
      <c r="AJ44" s="2557"/>
      <c r="AK44" s="2558"/>
      <c r="AL44" s="2556"/>
      <c r="AM44" s="2557"/>
      <c r="AN44" s="2557"/>
      <c r="AO44" s="2558"/>
      <c r="AP44" s="2556"/>
      <c r="AQ44" s="2557"/>
      <c r="AR44" s="2557"/>
      <c r="AS44" s="2558"/>
      <c r="AT44" s="1371" t="s">
        <v>493</v>
      </c>
      <c r="AU44" s="1371" t="s">
        <v>494</v>
      </c>
      <c r="AV44" s="1371" t="s">
        <v>493</v>
      </c>
      <c r="AW44" s="1371" t="s">
        <v>494</v>
      </c>
      <c r="AX44" s="1378" t="s">
        <v>461</v>
      </c>
      <c r="AY44" s="2474" t="s">
        <v>462</v>
      </c>
      <c r="AZ44" s="2476"/>
      <c r="BA44" s="2520"/>
      <c r="BB44" s="2523"/>
      <c r="BC44" s="2371"/>
      <c r="BI44" s="1078">
        <v>14</v>
      </c>
    </row>
    <row r="45" spans="1:61" s="1564" customFormat="1" ht="11.25" hidden="1" customHeight="1">
      <c r="A45" s="1293"/>
      <c r="B45" s="1293"/>
      <c r="C45" s="1293"/>
      <c r="D45" s="1293"/>
      <c r="E45" s="1293"/>
      <c r="F45" s="1293"/>
      <c r="G45" s="1293"/>
      <c r="H45" s="1293"/>
      <c r="I45" s="1293"/>
      <c r="J45" s="1293"/>
      <c r="K45" s="1293"/>
      <c r="L45" s="1287"/>
      <c r="M45" s="1285"/>
      <c r="N45" s="1285"/>
      <c r="O45" s="1285"/>
      <c r="P45" s="446"/>
      <c r="Q45" s="1177"/>
      <c r="R45" s="1177">
        <v>1</v>
      </c>
      <c r="S45" s="1200" t="s">
        <v>100</v>
      </c>
      <c r="T45" s="1178" t="s">
        <v>103</v>
      </c>
      <c r="U45" s="1168" t="str">
        <f ca="1">OFFSET(U45,0,-1)</f>
        <v>2</v>
      </c>
      <c r="V45" s="1374">
        <f t="shared" ref="V45:AA45" ca="1" si="2">OFFSET(V45,0,-1)+1</f>
        <v>3</v>
      </c>
      <c r="W45" s="1374">
        <f t="shared" ca="1" si="2"/>
        <v>4</v>
      </c>
      <c r="X45" s="1374">
        <f t="shared" ca="1" si="2"/>
        <v>5</v>
      </c>
      <c r="Y45" s="1374">
        <f t="shared" ca="1" si="2"/>
        <v>6</v>
      </c>
      <c r="Z45" s="1374">
        <f t="shared" ca="1" si="2"/>
        <v>7</v>
      </c>
      <c r="AA45" s="2513">
        <f t="shared" ca="1" si="2"/>
        <v>8</v>
      </c>
      <c r="AB45" s="2513"/>
      <c r="AC45" s="1374">
        <f ca="1">OFFSET(AC45,0,-2)+1</f>
        <v>9</v>
      </c>
      <c r="AD45" s="1374">
        <f ca="1">OFFSET(AD45,0,-1)+1</f>
        <v>10</v>
      </c>
      <c r="AE45" s="1374"/>
      <c r="AF45" s="1374"/>
      <c r="AG45" s="1374"/>
      <c r="AH45" s="1374"/>
      <c r="AI45" s="1374"/>
      <c r="AJ45" s="1374"/>
      <c r="AK45" s="1374"/>
      <c r="AL45" s="1374"/>
      <c r="AM45" s="1374"/>
      <c r="AN45" s="1374"/>
      <c r="AO45" s="1374"/>
      <c r="AP45" s="1374"/>
      <c r="AQ45" s="1374"/>
      <c r="AR45" s="1374"/>
      <c r="AS45" s="1374"/>
      <c r="AT45" s="1374"/>
      <c r="AU45" s="1374"/>
      <c r="AV45" s="1374"/>
      <c r="AW45" s="1374">
        <f ca="1">OFFSET(AW45,0,-1)+1</f>
        <v>1</v>
      </c>
      <c r="AX45" s="1374">
        <f ca="1">OFFSET(AX45,0,-1)+1</f>
        <v>2</v>
      </c>
      <c r="AY45" s="2513">
        <f ca="1">OFFSET(AY45,0,-1)+1</f>
        <v>3</v>
      </c>
      <c r="AZ45" s="2513"/>
      <c r="BA45" s="1374">
        <f ca="1">OFFSET(BA45,0,-2)+1</f>
        <v>4</v>
      </c>
      <c r="BB45" s="1168">
        <f ca="1">OFFSET(BB45,0,-1)</f>
        <v>4</v>
      </c>
      <c r="BC45" s="1374">
        <f ca="1">OFFSET(BC45,0,-1)+1</f>
        <v>5</v>
      </c>
      <c r="BD45" s="447"/>
      <c r="BE45" s="447"/>
      <c r="BF45" s="447"/>
      <c r="BG45" s="447"/>
      <c r="BH45" s="447"/>
      <c r="BI45" s="432">
        <v>0</v>
      </c>
    </row>
    <row r="46" spans="1:61" ht="21.95" customHeight="1">
      <c r="A46" s="1286" t="s">
        <v>265</v>
      </c>
      <c r="B46" s="1286"/>
      <c r="C46" s="1286"/>
      <c r="D46" s="1286"/>
      <c r="E46" s="2506">
        <v>1</v>
      </c>
      <c r="F46" s="1286"/>
      <c r="G46" s="1286"/>
      <c r="H46" s="1286"/>
      <c r="I46" s="1286"/>
      <c r="J46" s="1286"/>
      <c r="K46" s="1286"/>
      <c r="L46" s="1287"/>
      <c r="M46" s="1288"/>
      <c r="N46" s="1288"/>
      <c r="O46" s="1288"/>
      <c r="P46" s="1332"/>
      <c r="Q46" s="802"/>
      <c r="R46" s="291"/>
      <c r="S46" s="1380">
        <f>INDEX(PT_DIFFERENTIATION_NUM_NTAR,MATCH(A46,PT_DIFFERENTIATION_NTAR_ID,0))</f>
        <v>0</v>
      </c>
      <c r="T46" s="235" t="s">
        <v>144</v>
      </c>
      <c r="U46" s="237"/>
      <c r="V46" s="2493"/>
      <c r="W46" s="2493"/>
      <c r="X46" s="2493"/>
      <c r="Y46" s="2493"/>
      <c r="Z46" s="2493"/>
      <c r="AA46" s="2493"/>
      <c r="AB46" s="2493"/>
      <c r="AC46" s="2494"/>
      <c r="AD46" s="2492" t="str">
        <f>INDEX(PT_DIFFERENTIATION_NTAR,MATCH(A46,PT_DIFFERENTIATION_NTAR_ID,0))</f>
        <v/>
      </c>
      <c r="AE46" s="2493"/>
      <c r="AF46" s="2493"/>
      <c r="AG46" s="2493"/>
      <c r="AH46" s="2493"/>
      <c r="AI46" s="2493"/>
      <c r="AJ46" s="2493"/>
      <c r="AK46" s="2493"/>
      <c r="AL46" s="2493"/>
      <c r="AM46" s="2493"/>
      <c r="AN46" s="2493"/>
      <c r="AO46" s="2493"/>
      <c r="AP46" s="2493"/>
      <c r="AQ46" s="2493"/>
      <c r="AR46" s="2493"/>
      <c r="AS46" s="2493"/>
      <c r="AT46" s="2493"/>
      <c r="AU46" s="2493"/>
      <c r="AV46" s="2493"/>
      <c r="AW46" s="2493"/>
      <c r="AX46" s="2493"/>
      <c r="AY46" s="2493"/>
      <c r="AZ46" s="2493"/>
      <c r="BA46" s="2493"/>
      <c r="BB46" s="2494"/>
      <c r="BC46"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78">
        <v>21</v>
      </c>
    </row>
    <row r="47" spans="1:61" ht="21.95" customHeight="1">
      <c r="A47" s="1286" t="s">
        <v>265</v>
      </c>
      <c r="B47" s="1286" t="s">
        <v>266</v>
      </c>
      <c r="C47" s="1286"/>
      <c r="D47" s="1286"/>
      <c r="E47" s="2507"/>
      <c r="F47" s="2506">
        <v>1</v>
      </c>
      <c r="G47" s="1286"/>
      <c r="H47" s="1286"/>
      <c r="I47" s="1286"/>
      <c r="J47" s="1286"/>
      <c r="K47" s="1286"/>
      <c r="L47" s="1287"/>
      <c r="M47" s="1288"/>
      <c r="N47" s="1288"/>
      <c r="O47" s="1288"/>
      <c r="P47" s="1333"/>
      <c r="Q47" s="1334"/>
      <c r="R47" s="289"/>
      <c r="S47" s="1380" t="str">
        <f>INDEX(PT_DIFFERENTIATION_NUM_TER,MATCH(B47,PT_DIFFERENTIATION_TER_ID,0))</f>
        <v>.</v>
      </c>
      <c r="T47" s="245" t="s">
        <v>416</v>
      </c>
      <c r="U47" s="237"/>
      <c r="V47" s="2493"/>
      <c r="W47" s="2493"/>
      <c r="X47" s="2493"/>
      <c r="Y47" s="2493"/>
      <c r="Z47" s="2493"/>
      <c r="AA47" s="2493"/>
      <c r="AB47" s="2493"/>
      <c r="AC47" s="2494"/>
      <c r="AD47" s="2492" t="str">
        <f>INDEX(PT_DIFFERENTIATION_TER,MATCH(B47,PT_DIFFERENTIATION_TER_ID,0))</f>
        <v/>
      </c>
      <c r="AE47" s="2493"/>
      <c r="AF47" s="2493"/>
      <c r="AG47" s="2493"/>
      <c r="AH47" s="2493"/>
      <c r="AI47" s="2493"/>
      <c r="AJ47" s="2493"/>
      <c r="AK47" s="2493"/>
      <c r="AL47" s="2493"/>
      <c r="AM47" s="2493"/>
      <c r="AN47" s="2493"/>
      <c r="AO47" s="2493"/>
      <c r="AP47" s="2493"/>
      <c r="AQ47" s="2493"/>
      <c r="AR47" s="2493"/>
      <c r="AS47" s="2493"/>
      <c r="AT47" s="2493"/>
      <c r="AU47" s="2493"/>
      <c r="AV47" s="2493"/>
      <c r="AW47" s="2493"/>
      <c r="AX47" s="2493"/>
      <c r="AY47" s="2493"/>
      <c r="AZ47" s="2493"/>
      <c r="BA47" s="2493"/>
      <c r="BB47" s="2494"/>
      <c r="BC47" s="1181" t="s">
        <v>417</v>
      </c>
      <c r="BE47" s="436"/>
      <c r="BF47" s="436" t="str">
        <f t="shared" si="3"/>
        <v>Территория действия тарифа</v>
      </c>
      <c r="BG47" s="436"/>
      <c r="BH47" s="436"/>
      <c r="BI47" s="1078">
        <v>21</v>
      </c>
    </row>
    <row r="48" spans="1:61" ht="43.15" customHeight="1">
      <c r="A48" s="1286" t="s">
        <v>265</v>
      </c>
      <c r="B48" s="1286" t="s">
        <v>266</v>
      </c>
      <c r="C48" s="1286" t="s">
        <v>267</v>
      </c>
      <c r="D48" s="1286"/>
      <c r="E48" s="2507"/>
      <c r="F48" s="2507"/>
      <c r="G48" s="2506">
        <v>1</v>
      </c>
      <c r="H48" s="1286"/>
      <c r="I48" s="1286"/>
      <c r="J48" s="1286"/>
      <c r="K48" s="1286"/>
      <c r="L48" s="1287"/>
      <c r="M48" s="1288"/>
      <c r="N48" s="1288"/>
      <c r="O48" s="1288"/>
      <c r="P48" s="1335"/>
      <c r="Q48" s="1334"/>
      <c r="R48" s="289"/>
      <c r="S48" s="1380" t="str">
        <f>INDEX(PT_DIFFERENTIATION_NUM_CS,MATCH(C48,PT_DIFFERENTIATION_CS_ID,0))</f>
        <v>..</v>
      </c>
      <c r="T48" s="246" t="s">
        <v>498</v>
      </c>
      <c r="U48" s="237"/>
      <c r="V48" s="2493"/>
      <c r="W48" s="2493"/>
      <c r="X48" s="2493"/>
      <c r="Y48" s="2493"/>
      <c r="Z48" s="2493"/>
      <c r="AA48" s="2493"/>
      <c r="AB48" s="2493"/>
      <c r="AC48" s="2494"/>
      <c r="AD48" s="2492" t="str">
        <f>INDEX(PT_DIFFERENTIATION_CS,MATCH(C48,PT_DIFFERENTIATION_CS_ID,0))</f>
        <v/>
      </c>
      <c r="AE48" s="2493"/>
      <c r="AF48" s="2493"/>
      <c r="AG48" s="2493"/>
      <c r="AH48" s="2493"/>
      <c r="AI48" s="2493"/>
      <c r="AJ48" s="2493"/>
      <c r="AK48" s="2493"/>
      <c r="AL48" s="2493"/>
      <c r="AM48" s="2493"/>
      <c r="AN48" s="2493"/>
      <c r="AO48" s="2493"/>
      <c r="AP48" s="2493"/>
      <c r="AQ48" s="2493"/>
      <c r="AR48" s="2493"/>
      <c r="AS48" s="2493"/>
      <c r="AT48" s="2493"/>
      <c r="AU48" s="2493"/>
      <c r="AV48" s="2493"/>
      <c r="AW48" s="2493"/>
      <c r="AX48" s="2493"/>
      <c r="AY48" s="2493"/>
      <c r="AZ48" s="2493"/>
      <c r="BA48" s="2493"/>
      <c r="BB48" s="2494"/>
      <c r="BC48" s="1181" t="s">
        <v>499</v>
      </c>
      <c r="BE48" s="436"/>
      <c r="BF48" s="436" t="str">
        <f t="shared" si="3"/>
        <v>Наименование централизованной системы холодного водоснабжения</v>
      </c>
      <c r="BG48" s="436"/>
      <c r="BH48" s="436"/>
      <c r="BI48" s="1078">
        <v>41</v>
      </c>
    </row>
    <row r="49" spans="1:61" s="1565" customFormat="1" ht="0" hidden="1" customHeight="1">
      <c r="A49" s="1266" t="s">
        <v>265</v>
      </c>
      <c r="B49" s="1266" t="s">
        <v>266</v>
      </c>
      <c r="C49" s="1266" t="s">
        <v>267</v>
      </c>
      <c r="D49" s="1266" t="s">
        <v>532</v>
      </c>
      <c r="E49" s="2507"/>
      <c r="F49" s="2507"/>
      <c r="G49" s="2507"/>
      <c r="H49" s="2506">
        <v>1</v>
      </c>
      <c r="I49" s="1266"/>
      <c r="J49" s="1266"/>
      <c r="K49" s="1266"/>
      <c r="L49" s="1269"/>
      <c r="M49" s="1238"/>
      <c r="N49" s="1238"/>
      <c r="O49" s="1238"/>
      <c r="P49" s="1420"/>
      <c r="Q49" s="1421"/>
      <c r="R49" s="293"/>
      <c r="S49" s="969"/>
      <c r="T49" s="1422"/>
      <c r="U49" s="1307"/>
      <c r="V49" s="2536"/>
      <c r="W49" s="2536"/>
      <c r="X49" s="2536"/>
      <c r="Y49" s="2536"/>
      <c r="Z49" s="2536"/>
      <c r="AA49" s="2536"/>
      <c r="AB49" s="2536"/>
      <c r="AC49" s="2537"/>
      <c r="AD49" s="2535"/>
      <c r="AE49" s="2536"/>
      <c r="AF49" s="2536"/>
      <c r="AG49" s="2536"/>
      <c r="AH49" s="2536"/>
      <c r="AI49" s="2536"/>
      <c r="AJ49" s="2536"/>
      <c r="AK49" s="2536"/>
      <c r="AL49" s="2536"/>
      <c r="AM49" s="2536"/>
      <c r="AN49" s="2536"/>
      <c r="AO49" s="2536"/>
      <c r="AP49" s="2536"/>
      <c r="AQ49" s="2536"/>
      <c r="AR49" s="2536"/>
      <c r="AS49" s="2536"/>
      <c r="AT49" s="2536"/>
      <c r="AU49" s="2536"/>
      <c r="AV49" s="2536"/>
      <c r="AW49" s="2536"/>
      <c r="AX49" s="2536"/>
      <c r="AY49" s="2536"/>
      <c r="AZ49" s="2536"/>
      <c r="BA49" s="2536"/>
      <c r="BB49" s="2537"/>
      <c r="BC49" s="1308" t="s">
        <v>421</v>
      </c>
      <c r="BE49" s="436"/>
      <c r="BF49" s="436" t="str">
        <f t="shared" si="3"/>
        <v/>
      </c>
      <c r="BG49" s="436"/>
      <c r="BH49" s="436"/>
      <c r="BI49" s="447">
        <v>0</v>
      </c>
    </row>
    <row r="50" spans="1:61" s="1565" customFormat="1" ht="0" hidden="1" customHeight="1">
      <c r="A50" s="1266" t="s">
        <v>265</v>
      </c>
      <c r="B50" s="1266" t="s">
        <v>266</v>
      </c>
      <c r="C50" s="1266" t="s">
        <v>267</v>
      </c>
      <c r="D50" s="1266" t="s">
        <v>532</v>
      </c>
      <c r="E50" s="2507"/>
      <c r="F50" s="2507"/>
      <c r="G50" s="2507"/>
      <c r="H50" s="2507"/>
      <c r="I50" s="2504" t="str">
        <f>S49&amp;".1"</f>
        <v>.1</v>
      </c>
      <c r="J50" s="1266"/>
      <c r="K50" s="1266"/>
      <c r="L50" s="1269" t="s">
        <v>422</v>
      </c>
      <c r="M50" s="446"/>
      <c r="N50" s="446"/>
      <c r="O50" s="446"/>
      <c r="P50" s="2505">
        <v>1</v>
      </c>
      <c r="Q50" s="1385"/>
      <c r="R50" s="292"/>
      <c r="S50" s="969"/>
      <c r="T50" s="1306"/>
      <c r="U50" s="1307"/>
      <c r="V50" s="2536"/>
      <c r="W50" s="2536"/>
      <c r="X50" s="2536"/>
      <c r="Y50" s="2536"/>
      <c r="Z50" s="2536"/>
      <c r="AA50" s="2536"/>
      <c r="AB50" s="2536"/>
      <c r="AC50" s="2537"/>
      <c r="AD50" s="2535"/>
      <c r="AE50" s="2536"/>
      <c r="AF50" s="2536"/>
      <c r="AG50" s="2536"/>
      <c r="AH50" s="2536"/>
      <c r="AI50" s="2536"/>
      <c r="AJ50" s="2536"/>
      <c r="AK50" s="2536"/>
      <c r="AL50" s="2536"/>
      <c r="AM50" s="2536"/>
      <c r="AN50" s="2536"/>
      <c r="AO50" s="2536"/>
      <c r="AP50" s="2536"/>
      <c r="AQ50" s="2536"/>
      <c r="AR50" s="2536"/>
      <c r="AS50" s="2536"/>
      <c r="AT50" s="2536"/>
      <c r="AU50" s="2536"/>
      <c r="AV50" s="2536"/>
      <c r="AW50" s="2536"/>
      <c r="AX50" s="2536"/>
      <c r="AY50" s="2536"/>
      <c r="AZ50" s="2536"/>
      <c r="BA50" s="2536"/>
      <c r="BB50" s="2537"/>
      <c r="BC50" s="1308"/>
      <c r="BE50" s="436"/>
      <c r="BF50" s="436" t="str">
        <f t="shared" si="3"/>
        <v/>
      </c>
      <c r="BG50" s="436"/>
      <c r="BH50" s="436"/>
      <c r="BI50" s="447">
        <v>0</v>
      </c>
    </row>
    <row r="51" spans="1:61" s="1565" customFormat="1" ht="0" hidden="1" customHeight="1">
      <c r="A51" s="1266" t="s">
        <v>265</v>
      </c>
      <c r="B51" s="1266" t="s">
        <v>266</v>
      </c>
      <c r="C51" s="1266" t="s">
        <v>267</v>
      </c>
      <c r="D51" s="1266" t="s">
        <v>532</v>
      </c>
      <c r="E51" s="2507"/>
      <c r="F51" s="2507"/>
      <c r="G51" s="2507"/>
      <c r="H51" s="2507"/>
      <c r="I51" s="2527"/>
      <c r="J51" s="2504" t="str">
        <f>S49&amp;".1"</f>
        <v>.1</v>
      </c>
      <c r="K51" s="1266"/>
      <c r="L51" s="1269"/>
      <c r="M51" s="446"/>
      <c r="N51" s="446"/>
      <c r="O51" s="446"/>
      <c r="P51" s="2505"/>
      <c r="Q51" s="2505">
        <v>1</v>
      </c>
      <c r="R51" s="293"/>
      <c r="S51" s="969"/>
      <c r="T51" s="1322"/>
      <c r="U51" s="1307"/>
      <c r="V51" s="2536"/>
      <c r="W51" s="2536"/>
      <c r="X51" s="2536"/>
      <c r="Y51" s="2536"/>
      <c r="Z51" s="2536"/>
      <c r="AA51" s="2536"/>
      <c r="AB51" s="2536"/>
      <c r="AC51" s="2537"/>
      <c r="AD51" s="2535"/>
      <c r="AE51" s="2536"/>
      <c r="AF51" s="2536"/>
      <c r="AG51" s="2536"/>
      <c r="AH51" s="2536"/>
      <c r="AI51" s="2536"/>
      <c r="AJ51" s="2536"/>
      <c r="AK51" s="2536"/>
      <c r="AL51" s="2536"/>
      <c r="AM51" s="2536"/>
      <c r="AN51" s="2589"/>
      <c r="AO51" s="2589"/>
      <c r="AP51" s="2536"/>
      <c r="AQ51" s="2536"/>
      <c r="AR51" s="2536"/>
      <c r="AS51" s="2536"/>
      <c r="AT51" s="2536"/>
      <c r="AU51" s="2536"/>
      <c r="AV51" s="2536"/>
      <c r="AW51" s="2536"/>
      <c r="AX51" s="2536"/>
      <c r="AY51" s="2536"/>
      <c r="AZ51" s="2536"/>
      <c r="BA51" s="2536"/>
      <c r="BB51" s="2537"/>
      <c r="BC51" s="1308"/>
      <c r="BE51" s="436"/>
      <c r="BF51" s="436" t="str">
        <f t="shared" si="3"/>
        <v/>
      </c>
      <c r="BG51" s="436"/>
      <c r="BH51" s="436"/>
      <c r="BI51" s="447">
        <v>0</v>
      </c>
    </row>
    <row r="52" spans="1:61" ht="11.45" customHeight="1">
      <c r="A52" s="1286" t="s">
        <v>265</v>
      </c>
      <c r="B52" s="1286" t="s">
        <v>266</v>
      </c>
      <c r="C52" s="1286" t="s">
        <v>267</v>
      </c>
      <c r="D52" s="1286" t="s">
        <v>532</v>
      </c>
      <c r="E52" s="2507"/>
      <c r="F52" s="2507"/>
      <c r="G52" s="2507"/>
      <c r="H52" s="2507"/>
      <c r="I52" s="2527"/>
      <c r="J52" s="2527"/>
      <c r="K52" s="2504" t="str">
        <f>S48&amp;".1"</f>
        <v>...1</v>
      </c>
      <c r="L52" s="1287"/>
      <c r="P52" s="2505"/>
      <c r="Q52" s="2505"/>
      <c r="R52" s="293">
        <v>1</v>
      </c>
      <c r="S52" s="2564" t="str">
        <f>$K52</f>
        <v>...1</v>
      </c>
      <c r="T52" s="2585"/>
      <c r="U52" s="237"/>
      <c r="V52" s="686"/>
      <c r="W52" s="1180"/>
      <c r="X52" s="686"/>
      <c r="Y52" s="1180"/>
      <c r="Z52" s="1655"/>
      <c r="AA52" s="1382" t="s">
        <v>63</v>
      </c>
      <c r="AB52" s="1655"/>
      <c r="AC52" s="1382" t="s">
        <v>63</v>
      </c>
      <c r="AD52" s="2445" t="s">
        <v>63</v>
      </c>
      <c r="AE52" s="2549"/>
      <c r="AF52" s="2462">
        <v>1</v>
      </c>
      <c r="AG52" s="2588"/>
      <c r="AH52" s="2360" t="s">
        <v>63</v>
      </c>
      <c r="AI52" s="2549"/>
      <c r="AJ52" s="2462">
        <v>1</v>
      </c>
      <c r="AK52" s="2550" t="s">
        <v>22</v>
      </c>
      <c r="AL52" s="2360" t="s">
        <v>63</v>
      </c>
      <c r="AM52" s="2452"/>
      <c r="AN52" s="2462">
        <v>1</v>
      </c>
      <c r="AO52" s="2582"/>
      <c r="AP52" s="2583" t="s">
        <v>63</v>
      </c>
      <c r="AQ52" s="248"/>
      <c r="AR52" s="1386">
        <v>1</v>
      </c>
      <c r="AS52" s="1389" t="s">
        <v>22</v>
      </c>
      <c r="AT52" s="686"/>
      <c r="AU52" s="1180"/>
      <c r="AV52" s="686"/>
      <c r="AW52" s="1180"/>
      <c r="AX52" s="1655"/>
      <c r="AY52" s="1382" t="s">
        <v>63</v>
      </c>
      <c r="AZ52" s="1655"/>
      <c r="BA52" s="1382" t="s">
        <v>63</v>
      </c>
      <c r="BB52" s="1271"/>
      <c r="BC52" s="2501" t="s">
        <v>516</v>
      </c>
      <c r="BE52" s="436"/>
      <c r="BF52" s="436" t="str">
        <f t="shared" si="3"/>
        <v/>
      </c>
      <c r="BG52" s="436"/>
      <c r="BH52" s="436"/>
      <c r="BI52" s="1078">
        <v>11</v>
      </c>
    </row>
    <row r="53" spans="1:61" ht="11.45" customHeight="1">
      <c r="A53" s="1286"/>
      <c r="B53" s="1286"/>
      <c r="C53" s="1286"/>
      <c r="D53" s="1286"/>
      <c r="E53" s="2507"/>
      <c r="F53" s="2507"/>
      <c r="G53" s="2507"/>
      <c r="H53" s="2507"/>
      <c r="I53" s="2527"/>
      <c r="J53" s="2527"/>
      <c r="K53" s="2504"/>
      <c r="L53" s="1287"/>
      <c r="P53" s="2505"/>
      <c r="Q53" s="2505"/>
      <c r="R53" s="293"/>
      <c r="S53" s="2565"/>
      <c r="T53" s="2586"/>
      <c r="U53" s="237"/>
      <c r="V53" s="1316"/>
      <c r="W53" s="1419"/>
      <c r="X53" s="1316"/>
      <c r="Y53" s="1419"/>
      <c r="Z53" s="1316"/>
      <c r="AA53" s="1316"/>
      <c r="AB53" s="1316"/>
      <c r="AC53" s="1316"/>
      <c r="AD53" s="2446"/>
      <c r="AE53" s="2549"/>
      <c r="AF53" s="2462"/>
      <c r="AG53" s="2588"/>
      <c r="AH53" s="2360"/>
      <c r="AI53" s="2549"/>
      <c r="AJ53" s="2462"/>
      <c r="AK53" s="2550"/>
      <c r="AL53" s="2360"/>
      <c r="AM53" s="2457"/>
      <c r="AN53" s="2462"/>
      <c r="AO53" s="2582"/>
      <c r="AP53" s="2584"/>
      <c r="AQ53" s="253"/>
      <c r="AR53" s="352"/>
      <c r="AS53" s="352" t="s">
        <v>517</v>
      </c>
      <c r="AT53" s="1316"/>
      <c r="AU53" s="1419"/>
      <c r="AV53" s="1316"/>
      <c r="AW53" s="1419"/>
      <c r="AX53" s="1316"/>
      <c r="AY53" s="1316"/>
      <c r="AZ53" s="1316"/>
      <c r="BA53" s="1316"/>
      <c r="BB53" s="1320"/>
      <c r="BC53" s="2502"/>
      <c r="BE53" s="436"/>
      <c r="BF53" s="436"/>
      <c r="BG53" s="436"/>
      <c r="BH53" s="436"/>
      <c r="BI53" s="1078">
        <v>11</v>
      </c>
    </row>
    <row r="54" spans="1:61" ht="11.45" customHeight="1">
      <c r="A54" s="1286" t="s">
        <v>265</v>
      </c>
      <c r="B54" s="1286"/>
      <c r="C54" s="1286"/>
      <c r="D54" s="1286"/>
      <c r="E54" s="2507"/>
      <c r="F54" s="2507"/>
      <c r="G54" s="2507"/>
      <c r="H54" s="2507"/>
      <c r="I54" s="2527"/>
      <c r="J54" s="2527"/>
      <c r="K54" s="2504"/>
      <c r="L54" s="1287"/>
      <c r="P54" s="2505"/>
      <c r="Q54" s="2505"/>
      <c r="R54" s="293"/>
      <c r="S54" s="2565"/>
      <c r="T54" s="2586"/>
      <c r="U54" s="237"/>
      <c r="V54" s="1316"/>
      <c r="W54" s="1419"/>
      <c r="X54" s="1316"/>
      <c r="Y54" s="1419"/>
      <c r="Z54" s="1316"/>
      <c r="AA54" s="1316"/>
      <c r="AB54" s="1316"/>
      <c r="AC54" s="1316"/>
      <c r="AD54" s="2446"/>
      <c r="AE54" s="2549"/>
      <c r="AF54" s="2462"/>
      <c r="AG54" s="2588"/>
      <c r="AH54" s="2360"/>
      <c r="AI54" s="2549"/>
      <c r="AJ54" s="2462"/>
      <c r="AK54" s="2550"/>
      <c r="AL54" s="2360"/>
      <c r="AM54" s="253"/>
      <c r="AN54" s="1423"/>
      <c r="AO54" s="1423" t="s">
        <v>518</v>
      </c>
      <c r="AP54" s="352"/>
      <c r="AQ54" s="352"/>
      <c r="AR54" s="352"/>
      <c r="AS54" s="1316"/>
      <c r="AT54" s="1316"/>
      <c r="AU54" s="1419"/>
      <c r="AV54" s="1316"/>
      <c r="AW54" s="1419"/>
      <c r="AX54" s="1316"/>
      <c r="AY54" s="1316"/>
      <c r="AZ54" s="1316"/>
      <c r="BA54" s="1316"/>
      <c r="BB54" s="1320"/>
      <c r="BC54" s="2502"/>
      <c r="BE54" s="436"/>
      <c r="BF54" s="436"/>
      <c r="BG54" s="436"/>
      <c r="BH54" s="436"/>
      <c r="BI54" s="1078">
        <v>11</v>
      </c>
    </row>
    <row r="55" spans="1:61" ht="11.45" customHeight="1">
      <c r="A55" s="1286" t="s">
        <v>265</v>
      </c>
      <c r="B55" s="1286"/>
      <c r="C55" s="1286"/>
      <c r="D55" s="1286"/>
      <c r="E55" s="2507"/>
      <c r="F55" s="2507"/>
      <c r="G55" s="2507"/>
      <c r="H55" s="2507"/>
      <c r="I55" s="2527"/>
      <c r="J55" s="2527"/>
      <c r="K55" s="2504"/>
      <c r="L55" s="1287"/>
      <c r="P55" s="2505"/>
      <c r="Q55" s="2505"/>
      <c r="R55" s="293"/>
      <c r="S55" s="2565"/>
      <c r="T55" s="2586"/>
      <c r="U55" s="237"/>
      <c r="V55" s="1316"/>
      <c r="W55" s="1419"/>
      <c r="X55" s="1316"/>
      <c r="Y55" s="1419"/>
      <c r="Z55" s="1316"/>
      <c r="AA55" s="1316"/>
      <c r="AB55" s="1316"/>
      <c r="AC55" s="1316"/>
      <c r="AD55" s="2446"/>
      <c r="AE55" s="2549"/>
      <c r="AF55" s="2462"/>
      <c r="AG55" s="2588"/>
      <c r="AH55" s="2360"/>
      <c r="AI55" s="231"/>
      <c r="AJ55" s="351"/>
      <c r="AK55" s="250" t="s">
        <v>519</v>
      </c>
      <c r="AL55" s="1316"/>
      <c r="AM55" s="1316"/>
      <c r="AN55" s="1316"/>
      <c r="AO55" s="1316"/>
      <c r="AP55" s="1316"/>
      <c r="AQ55" s="1316"/>
      <c r="AR55" s="1316"/>
      <c r="AS55" s="1316"/>
      <c r="AT55" s="1316"/>
      <c r="AU55" s="1419"/>
      <c r="AV55" s="1316"/>
      <c r="AW55" s="1419"/>
      <c r="AX55" s="1316"/>
      <c r="AY55" s="1316"/>
      <c r="AZ55" s="1316"/>
      <c r="BA55" s="1316"/>
      <c r="BB55" s="1320"/>
      <c r="BC55" s="2502"/>
      <c r="BE55" s="436"/>
      <c r="BF55" s="436"/>
      <c r="BG55" s="436"/>
      <c r="BH55" s="436"/>
      <c r="BI55" s="1078">
        <v>11</v>
      </c>
    </row>
    <row r="56" spans="1:61" ht="11.45" customHeight="1">
      <c r="A56" s="1286" t="s">
        <v>265</v>
      </c>
      <c r="B56" s="1286" t="s">
        <v>266</v>
      </c>
      <c r="C56" s="1286" t="s">
        <v>267</v>
      </c>
      <c r="D56" s="1286" t="s">
        <v>532</v>
      </c>
      <c r="E56" s="2507"/>
      <c r="F56" s="2507"/>
      <c r="G56" s="2507"/>
      <c r="H56" s="2507"/>
      <c r="I56" s="2527"/>
      <c r="J56" s="2527"/>
      <c r="K56" s="2504"/>
      <c r="L56" s="1287"/>
      <c r="P56" s="2505"/>
      <c r="Q56" s="2505"/>
      <c r="R56" s="293"/>
      <c r="S56" s="2566"/>
      <c r="T56" s="2587"/>
      <c r="U56" s="237"/>
      <c r="V56" s="1316"/>
      <c r="W56" s="1317" t="str">
        <f>Z52&amp;"-"&amp;AB52</f>
        <v>-</v>
      </c>
      <c r="X56" s="1316"/>
      <c r="Y56" s="1317" t="str">
        <f>AB52&amp;"-"&amp;AD52</f>
        <v>-да</v>
      </c>
      <c r="Z56" s="1316"/>
      <c r="AA56" s="1316"/>
      <c r="AB56" s="1316"/>
      <c r="AC56" s="1316"/>
      <c r="AD56" s="2375"/>
      <c r="AE56" s="249"/>
      <c r="AF56" s="251"/>
      <c r="AG56" s="352" t="s">
        <v>520</v>
      </c>
      <c r="AH56" s="1316"/>
      <c r="AI56" s="1316"/>
      <c r="AJ56" s="1316"/>
      <c r="AK56" s="1316"/>
      <c r="AL56" s="1316"/>
      <c r="AM56" s="1316"/>
      <c r="AN56" s="1316"/>
      <c r="AO56" s="1316"/>
      <c r="AP56" s="1316"/>
      <c r="AQ56" s="1316"/>
      <c r="AR56" s="1316"/>
      <c r="AS56" s="1316"/>
      <c r="AT56" s="1316"/>
      <c r="AU56" s="1317" t="str">
        <f>AX52&amp;"-"&amp;AZ52</f>
        <v>-</v>
      </c>
      <c r="AV56" s="1316"/>
      <c r="AW56" s="1317" t="str">
        <f>AZ52&amp;"-"&amp;BB52</f>
        <v>-</v>
      </c>
      <c r="AX56" s="1316"/>
      <c r="AY56" s="1316"/>
      <c r="AZ56" s="1316"/>
      <c r="BA56" s="1316"/>
      <c r="BB56" s="1319" t="str">
        <f>BE52&amp;"-"&amp;BG52</f>
        <v>-</v>
      </c>
      <c r="BC56" s="2502"/>
      <c r="BE56" s="436"/>
      <c r="BF56" s="436" t="str">
        <f t="shared" ref="BF56:BF63" si="4">IF(T56="","",T56)</f>
        <v/>
      </c>
      <c r="BG56" s="436"/>
      <c r="BH56" s="436"/>
      <c r="BI56" s="1078">
        <v>11</v>
      </c>
    </row>
    <row r="57" spans="1:61" ht="11.45" customHeight="1">
      <c r="A57" s="1286" t="s">
        <v>265</v>
      </c>
      <c r="B57" s="1286" t="s">
        <v>266</v>
      </c>
      <c r="C57" s="1286" t="s">
        <v>267</v>
      </c>
      <c r="D57" s="1286" t="s">
        <v>532</v>
      </c>
      <c r="E57" s="2507"/>
      <c r="F57" s="2507"/>
      <c r="G57" s="2507"/>
      <c r="H57" s="2507"/>
      <c r="I57" s="2527"/>
      <c r="J57" s="2504"/>
      <c r="K57" s="1286"/>
      <c r="L57" s="1287"/>
      <c r="P57" s="2505"/>
      <c r="Q57" s="2505"/>
      <c r="R57" s="292"/>
      <c r="S57" s="1201"/>
      <c r="T57" s="224" t="s">
        <v>483</v>
      </c>
      <c r="U57" s="303"/>
      <c r="V57" s="303"/>
      <c r="W57" s="303"/>
      <c r="X57" s="303"/>
      <c r="Y57" s="303"/>
      <c r="Z57" s="303"/>
      <c r="AA57" s="303"/>
      <c r="AB57" s="303"/>
      <c r="AC57" s="261"/>
      <c r="AD57" s="1428"/>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503"/>
      <c r="BE57" s="436"/>
      <c r="BF57" s="436" t="str">
        <f t="shared" si="4"/>
        <v>Добавить строку</v>
      </c>
      <c r="BG57" s="436"/>
      <c r="BH57" s="436"/>
      <c r="BI57" s="1078">
        <v>11</v>
      </c>
    </row>
    <row r="58" spans="1:61" s="1565" customFormat="1" ht="0" hidden="1" customHeight="1">
      <c r="A58" s="1266" t="s">
        <v>265</v>
      </c>
      <c r="B58" s="1266" t="s">
        <v>266</v>
      </c>
      <c r="C58" s="1266" t="s">
        <v>267</v>
      </c>
      <c r="D58" s="1266" t="s">
        <v>532</v>
      </c>
      <c r="E58" s="2507"/>
      <c r="F58" s="2507"/>
      <c r="G58" s="2507"/>
      <c r="H58" s="2507"/>
      <c r="I58" s="2504"/>
      <c r="J58" s="1266"/>
      <c r="K58" s="1266"/>
      <c r="L58" s="1269"/>
      <c r="M58" s="446"/>
      <c r="N58" s="446"/>
      <c r="O58" s="446"/>
      <c r="P58" s="2505"/>
      <c r="Q58" s="1385"/>
      <c r="R58" s="292"/>
      <c r="S58" s="1309"/>
      <c r="T58" s="1310"/>
      <c r="U58" s="1311"/>
      <c r="V58" s="1311"/>
      <c r="W58" s="1311"/>
      <c r="X58" s="1311"/>
      <c r="Y58" s="1311"/>
      <c r="Z58" s="1311"/>
      <c r="AA58" s="1311"/>
      <c r="AB58" s="1311"/>
      <c r="AC58" s="1311"/>
      <c r="AD58" s="1311"/>
      <c r="AE58" s="1311"/>
      <c r="AF58" s="1311"/>
      <c r="AG58" s="1311"/>
      <c r="AH58" s="1311"/>
      <c r="AI58" s="1311"/>
      <c r="AJ58" s="1311"/>
      <c r="AK58" s="1311"/>
      <c r="AL58" s="1311"/>
      <c r="AM58" s="1311"/>
      <c r="AN58" s="1311"/>
      <c r="AO58" s="1311"/>
      <c r="AP58" s="1311"/>
      <c r="AQ58" s="1311"/>
      <c r="AR58" s="1311"/>
      <c r="AS58" s="1311"/>
      <c r="AT58" s="1311"/>
      <c r="AU58" s="1311"/>
      <c r="AV58" s="1311"/>
      <c r="AW58" s="1311"/>
      <c r="AX58" s="1311"/>
      <c r="AY58" s="1311"/>
      <c r="AZ58" s="1311"/>
      <c r="BA58" s="1311"/>
      <c r="BB58" s="1311"/>
      <c r="BC58" s="1312"/>
      <c r="BE58" s="436"/>
      <c r="BF58" s="436" t="str">
        <f t="shared" si="4"/>
        <v/>
      </c>
      <c r="BG58" s="436"/>
      <c r="BH58" s="436"/>
      <c r="BI58" s="447">
        <v>0</v>
      </c>
    </row>
    <row r="59" spans="1:61" s="1565" customFormat="1" ht="0" hidden="1" customHeight="1">
      <c r="A59" s="1266" t="s">
        <v>265</v>
      </c>
      <c r="B59" s="1266" t="s">
        <v>266</v>
      </c>
      <c r="C59" s="1266" t="s">
        <v>267</v>
      </c>
      <c r="D59" s="1266" t="s">
        <v>532</v>
      </c>
      <c r="E59" s="2507"/>
      <c r="F59" s="2507"/>
      <c r="G59" s="2507"/>
      <c r="H59" s="2506"/>
      <c r="I59" s="1266"/>
      <c r="J59" s="1266"/>
      <c r="K59" s="1266"/>
      <c r="L59" s="1269"/>
      <c r="M59" s="1238"/>
      <c r="N59" s="1238"/>
      <c r="O59" s="454"/>
      <c r="P59" s="316"/>
      <c r="Q59" s="1267"/>
      <c r="R59" s="1324"/>
      <c r="S59" s="1309"/>
      <c r="T59" s="1310"/>
      <c r="U59" s="1311"/>
      <c r="V59" s="1311"/>
      <c r="W59" s="1311"/>
      <c r="X59" s="1311"/>
      <c r="Y59" s="1311"/>
      <c r="Z59" s="1311"/>
      <c r="AA59" s="1311"/>
      <c r="AB59" s="1311"/>
      <c r="AC59" s="1311"/>
      <c r="AD59" s="1311"/>
      <c r="AE59" s="1311"/>
      <c r="AF59" s="1311"/>
      <c r="AG59" s="1311"/>
      <c r="AH59" s="1311"/>
      <c r="AI59" s="1311"/>
      <c r="AJ59" s="1311"/>
      <c r="AK59" s="1311"/>
      <c r="AL59" s="1311"/>
      <c r="AM59" s="1311"/>
      <c r="AN59" s="1311"/>
      <c r="AO59" s="1311"/>
      <c r="AP59" s="1311"/>
      <c r="AQ59" s="1311"/>
      <c r="AR59" s="1311"/>
      <c r="AS59" s="1311"/>
      <c r="AT59" s="1311"/>
      <c r="AU59" s="1311"/>
      <c r="AV59" s="1311"/>
      <c r="AW59" s="1311"/>
      <c r="AX59" s="1311"/>
      <c r="AY59" s="1311"/>
      <c r="AZ59" s="1311"/>
      <c r="BA59" s="1311"/>
      <c r="BB59" s="1311"/>
      <c r="BC59" s="1312"/>
      <c r="BE59" s="436"/>
      <c r="BF59" s="436" t="str">
        <f t="shared" si="4"/>
        <v/>
      </c>
      <c r="BG59" s="436"/>
      <c r="BH59" s="436"/>
      <c r="BI59" s="447">
        <v>0</v>
      </c>
    </row>
    <row r="60" spans="1:61" s="1565" customFormat="1" ht="0" hidden="1" customHeight="1">
      <c r="A60" s="1266" t="s">
        <v>265</v>
      </c>
      <c r="B60" s="1266" t="s">
        <v>266</v>
      </c>
      <c r="C60" s="1266" t="s">
        <v>267</v>
      </c>
      <c r="D60" s="1237"/>
      <c r="E60" s="2507"/>
      <c r="F60" s="2507"/>
      <c r="G60" s="2506"/>
      <c r="H60" s="1237"/>
      <c r="I60" s="1237"/>
      <c r="J60" s="1237"/>
      <c r="K60" s="1237"/>
      <c r="L60" s="1387"/>
      <c r="M60" s="1238"/>
      <c r="N60" s="1238"/>
      <c r="P60" s="1239"/>
      <c r="Q60" s="1240"/>
      <c r="R60" s="1239"/>
      <c r="S60" s="1245"/>
      <c r="T60" s="1248"/>
      <c r="U60" s="1247"/>
      <c r="V60" s="1247"/>
      <c r="W60" s="1247"/>
      <c r="X60" s="1247"/>
      <c r="Y60" s="1247"/>
      <c r="Z60" s="1247"/>
      <c r="AA60" s="1247"/>
      <c r="AB60" s="1247"/>
      <c r="AC60" s="1247"/>
      <c r="AD60" s="1247"/>
      <c r="AE60" s="1247"/>
      <c r="AF60" s="1247"/>
      <c r="AG60" s="1247"/>
      <c r="AH60" s="1247"/>
      <c r="AI60" s="1247"/>
      <c r="AJ60" s="1247"/>
      <c r="AK60" s="1247"/>
      <c r="AL60" s="1247"/>
      <c r="AM60" s="1247"/>
      <c r="AN60" s="1247"/>
      <c r="AO60" s="1247"/>
      <c r="AP60" s="1247"/>
      <c r="AQ60" s="1247"/>
      <c r="AR60" s="1247"/>
      <c r="AS60" s="1247"/>
      <c r="AT60" s="1247"/>
      <c r="AU60" s="1247"/>
      <c r="AV60" s="1247"/>
      <c r="AW60" s="1247"/>
      <c r="AX60" s="1247"/>
      <c r="AY60" s="1247"/>
      <c r="AZ60" s="1247"/>
      <c r="BA60" s="1247"/>
      <c r="BB60" s="1247"/>
      <c r="BC60" s="1247"/>
      <c r="BE60" s="718"/>
      <c r="BF60" s="718" t="str">
        <f t="shared" si="4"/>
        <v/>
      </c>
      <c r="BG60" s="718"/>
      <c r="BH60" s="718"/>
      <c r="BI60" s="454">
        <v>0</v>
      </c>
    </row>
    <row r="61" spans="1:61" s="1565" customFormat="1" ht="0" hidden="1" customHeight="1">
      <c r="A61" s="1266" t="s">
        <v>265</v>
      </c>
      <c r="B61" s="1266" t="s">
        <v>266</v>
      </c>
      <c r="C61" s="1237"/>
      <c r="D61" s="1237"/>
      <c r="E61" s="2507"/>
      <c r="F61" s="2506"/>
      <c r="G61" s="1237"/>
      <c r="H61" s="1237"/>
      <c r="I61" s="1237"/>
      <c r="J61" s="1237"/>
      <c r="K61" s="1237"/>
      <c r="L61" s="1387"/>
      <c r="M61" s="1244"/>
      <c r="N61" s="1244"/>
      <c r="P61" s="1239"/>
      <c r="Q61" s="1240"/>
      <c r="R61" s="1239"/>
      <c r="S61" s="1245"/>
      <c r="T61" s="1248" t="s">
        <v>434</v>
      </c>
      <c r="U61" s="1247"/>
      <c r="V61" s="1247"/>
      <c r="W61" s="1247"/>
      <c r="X61" s="1247"/>
      <c r="Y61" s="1247"/>
      <c r="Z61" s="1247"/>
      <c r="AA61" s="1247"/>
      <c r="AB61" s="1247"/>
      <c r="AC61" s="1247"/>
      <c r="AD61" s="1247"/>
      <c r="AE61" s="1247"/>
      <c r="AF61" s="1247"/>
      <c r="AG61" s="1247"/>
      <c r="AH61" s="1247"/>
      <c r="AI61" s="1247"/>
      <c r="AJ61" s="1247"/>
      <c r="AK61" s="1247"/>
      <c r="AL61" s="1247"/>
      <c r="AM61" s="1247"/>
      <c r="AN61" s="1247"/>
      <c r="AO61" s="1247"/>
      <c r="AP61" s="1247"/>
      <c r="AQ61" s="1247"/>
      <c r="AR61" s="1247"/>
      <c r="AS61" s="1247"/>
      <c r="AT61" s="1247"/>
      <c r="AU61" s="1247"/>
      <c r="AV61" s="1247"/>
      <c r="AW61" s="1247"/>
      <c r="AX61" s="1247"/>
      <c r="AY61" s="1247"/>
      <c r="AZ61" s="1247"/>
      <c r="BA61" s="1247"/>
      <c r="BB61" s="1247"/>
      <c r="BC61" s="1247"/>
      <c r="BE61" s="718"/>
      <c r="BF61" s="718" t="str">
        <f t="shared" si="4"/>
        <v>Добавить централизованную систему для дифференциации</v>
      </c>
      <c r="BG61" s="718"/>
      <c r="BH61" s="718"/>
      <c r="BI61" s="454">
        <v>0</v>
      </c>
    </row>
    <row r="62" spans="1:61" s="1565" customFormat="1" ht="0" hidden="1" customHeight="1">
      <c r="A62" s="1266" t="s">
        <v>265</v>
      </c>
      <c r="B62" s="1266"/>
      <c r="C62" s="1266"/>
      <c r="D62" s="1266"/>
      <c r="E62" s="2506"/>
      <c r="F62" s="1266"/>
      <c r="G62" s="1266"/>
      <c r="H62" s="1266"/>
      <c r="I62" s="1266"/>
      <c r="J62" s="1266"/>
      <c r="K62" s="1266"/>
      <c r="L62" s="1269"/>
      <c r="M62" s="1244"/>
      <c r="N62" s="1244"/>
      <c r="O62" s="454"/>
      <c r="P62" s="316"/>
      <c r="Q62" s="1267"/>
      <c r="R62" s="316"/>
      <c r="S62" s="1245"/>
      <c r="T62" s="1248" t="s">
        <v>435</v>
      </c>
      <c r="U62" s="1247"/>
      <c r="V62" s="1247"/>
      <c r="W62" s="1247"/>
      <c r="X62" s="1247"/>
      <c r="Y62" s="1247"/>
      <c r="Z62" s="1247"/>
      <c r="AA62" s="1247"/>
      <c r="AB62" s="1247"/>
      <c r="AC62" s="1247"/>
      <c r="AD62" s="1247"/>
      <c r="AE62" s="1247"/>
      <c r="AF62" s="1247"/>
      <c r="AG62" s="1247"/>
      <c r="AH62" s="1247"/>
      <c r="AI62" s="1247"/>
      <c r="AJ62" s="1247"/>
      <c r="AK62" s="1247"/>
      <c r="AL62" s="1247"/>
      <c r="AM62" s="1247"/>
      <c r="AN62" s="1247"/>
      <c r="AO62" s="1247"/>
      <c r="AP62" s="1247"/>
      <c r="AQ62" s="1247"/>
      <c r="AR62" s="1247"/>
      <c r="AS62" s="1247"/>
      <c r="AT62" s="1247"/>
      <c r="AU62" s="1247"/>
      <c r="AV62" s="1247"/>
      <c r="AW62" s="1247"/>
      <c r="AX62" s="1247"/>
      <c r="AY62" s="1247"/>
      <c r="AZ62" s="1247"/>
      <c r="BA62" s="1247"/>
      <c r="BB62" s="1247"/>
      <c r="BC62" s="1247"/>
      <c r="BE62" s="436"/>
      <c r="BF62" s="436" t="str">
        <f t="shared" si="4"/>
        <v>Добавить территорию для дифференциации</v>
      </c>
      <c r="BG62" s="436"/>
      <c r="BH62" s="436"/>
      <c r="BI62" s="447">
        <v>0</v>
      </c>
    </row>
    <row r="63" spans="1:61" s="1565" customFormat="1" ht="0" hidden="1" customHeight="1">
      <c r="A63" s="1237"/>
      <c r="B63" s="1237"/>
      <c r="C63" s="1237"/>
      <c r="D63" s="1237"/>
      <c r="E63" s="1266"/>
      <c r="F63" s="1237"/>
      <c r="G63" s="1237"/>
      <c r="H63" s="1237"/>
      <c r="I63" s="1237"/>
      <c r="J63" s="1237"/>
      <c r="K63" s="1237"/>
      <c r="L63" s="1387"/>
      <c r="M63" s="1244"/>
      <c r="N63" s="1244"/>
      <c r="P63" s="1239"/>
      <c r="Q63" s="1240"/>
      <c r="R63" s="1239"/>
      <c r="S63" s="1245"/>
      <c r="T63" s="1248" t="s">
        <v>463</v>
      </c>
      <c r="U63" s="1247"/>
      <c r="V63" s="1247"/>
      <c r="W63" s="1247"/>
      <c r="X63" s="1247"/>
      <c r="Y63" s="1247"/>
      <c r="Z63" s="1247"/>
      <c r="AA63" s="1247"/>
      <c r="AB63" s="1247"/>
      <c r="AC63" s="1247"/>
      <c r="AD63" s="1247"/>
      <c r="AE63" s="1247"/>
      <c r="AF63" s="1247"/>
      <c r="AG63" s="1247"/>
      <c r="AH63" s="1247"/>
      <c r="AI63" s="1247"/>
      <c r="AJ63" s="1247"/>
      <c r="AK63" s="1247"/>
      <c r="AL63" s="1247"/>
      <c r="AM63" s="1247"/>
      <c r="AN63" s="1247"/>
      <c r="AO63" s="1247"/>
      <c r="AP63" s="1247"/>
      <c r="AQ63" s="1247"/>
      <c r="AR63" s="1247"/>
      <c r="AS63" s="1247"/>
      <c r="AT63" s="1247"/>
      <c r="AU63" s="1247"/>
      <c r="AV63" s="1247"/>
      <c r="AW63" s="1247"/>
      <c r="AX63" s="1247"/>
      <c r="AY63" s="1247"/>
      <c r="AZ63" s="1247"/>
      <c r="BA63" s="1247"/>
      <c r="BB63" s="1247"/>
      <c r="BC63" s="1247"/>
      <c r="BE63" s="718"/>
      <c r="BF63" s="718" t="str">
        <f t="shared" si="4"/>
        <v>Добавить наименование тарифа</v>
      </c>
      <c r="BG63" s="718"/>
      <c r="BH63" s="718"/>
      <c r="BI63" s="454">
        <v>0</v>
      </c>
    </row>
    <row r="64" spans="1:61" ht="11.45" customHeight="1">
      <c r="M64" s="1083"/>
      <c r="N64" s="1083"/>
      <c r="O64" s="473"/>
      <c r="P64" s="1083"/>
      <c r="Q64" s="1083"/>
      <c r="R64" s="1078"/>
      <c r="S64" s="1078"/>
      <c r="BD64" s="1078"/>
      <c r="BE64" s="1078"/>
      <c r="BF64" s="1078"/>
      <c r="BG64" s="1078"/>
      <c r="BH64" s="1078"/>
      <c r="BI64" s="1078">
        <v>11</v>
      </c>
    </row>
    <row r="65" spans="1:61" ht="19.899999999999999" customHeight="1">
      <c r="O65" s="473"/>
      <c r="S65" s="1176"/>
      <c r="T65" s="2526"/>
      <c r="U65" s="2526"/>
      <c r="V65" s="2526"/>
      <c r="W65" s="2526"/>
      <c r="X65" s="2526"/>
      <c r="Y65" s="2526"/>
      <c r="Z65" s="2526"/>
      <c r="AA65" s="2526"/>
      <c r="AB65" s="2526"/>
      <c r="AC65" s="2526"/>
      <c r="AD65" s="2526"/>
      <c r="AE65" s="2526"/>
      <c r="AF65" s="2526"/>
      <c r="AG65" s="2526"/>
      <c r="AH65" s="2526"/>
      <c r="AI65" s="2526"/>
      <c r="AJ65" s="2526"/>
      <c r="AK65" s="2526"/>
      <c r="AL65" s="2526"/>
      <c r="AM65" s="2526"/>
      <c r="AN65" s="2526"/>
      <c r="AO65" s="2526"/>
      <c r="AP65" s="2526"/>
      <c r="AQ65" s="2526"/>
      <c r="AR65" s="2526"/>
      <c r="AS65" s="2526"/>
      <c r="AT65" s="2526"/>
      <c r="AU65" s="2526"/>
      <c r="AV65" s="2526"/>
      <c r="AW65" s="2526"/>
      <c r="AX65" s="2526"/>
      <c r="AY65" s="2526"/>
      <c r="AZ65" s="2526"/>
      <c r="BA65" s="2526"/>
      <c r="BB65" s="2526"/>
      <c r="BC65" s="2526"/>
      <c r="BI65" s="1078">
        <v>19</v>
      </c>
    </row>
    <row r="66" spans="1:61" ht="14.65" customHeight="1">
      <c r="O66" s="473"/>
      <c r="T66" s="1372"/>
      <c r="U66" s="1372"/>
      <c r="V66" s="1372"/>
      <c r="W66" s="1372"/>
      <c r="X66" s="1372"/>
      <c r="Y66" s="1372"/>
      <c r="Z66" s="1372"/>
      <c r="AA66" s="1372"/>
      <c r="AB66" s="1372"/>
      <c r="AC66" s="1372"/>
      <c r="AD66" s="1372"/>
      <c r="AE66" s="1372"/>
      <c r="AF66" s="1372"/>
      <c r="AG66" s="1372"/>
      <c r="AH66" s="1372"/>
      <c r="AI66" s="1372"/>
      <c r="AJ66" s="1372"/>
      <c r="AK66" s="1372"/>
      <c r="AL66" s="1372"/>
      <c r="AM66" s="1372"/>
      <c r="AN66" s="1372"/>
      <c r="AO66" s="1372"/>
      <c r="AP66" s="1372"/>
      <c r="AQ66" s="1372"/>
      <c r="AR66" s="1372"/>
      <c r="AS66" s="1372"/>
      <c r="AT66" s="1372"/>
      <c r="AU66" s="1372"/>
      <c r="AV66" s="1372"/>
      <c r="AW66" s="1372"/>
      <c r="AX66" s="1372"/>
      <c r="AY66" s="1372"/>
      <c r="AZ66" s="1372"/>
      <c r="BA66" s="1372"/>
      <c r="BB66" s="1372"/>
      <c r="BC66" s="1372"/>
      <c r="BI66" s="1078">
        <v>14</v>
      </c>
    </row>
    <row r="67" spans="1:61" ht="19.899999999999999" customHeight="1">
      <c r="O67" s="473"/>
      <c r="S67" s="1176"/>
      <c r="T67" s="2526"/>
      <c r="U67" s="2526"/>
      <c r="V67" s="2526"/>
      <c r="W67" s="2526"/>
      <c r="X67" s="2526"/>
      <c r="Y67" s="2526"/>
      <c r="Z67" s="2526"/>
      <c r="AA67" s="2526"/>
      <c r="AB67" s="2526"/>
      <c r="AC67" s="2526"/>
      <c r="AD67" s="2526"/>
      <c r="AE67" s="2526"/>
      <c r="AF67" s="2526"/>
      <c r="AG67" s="2526"/>
      <c r="AH67" s="2526"/>
      <c r="AI67" s="2526"/>
      <c r="AJ67" s="2526"/>
      <c r="AK67" s="2526"/>
      <c r="AL67" s="2526"/>
      <c r="AM67" s="2526"/>
      <c r="AN67" s="2526"/>
      <c r="AO67" s="2526"/>
      <c r="AP67" s="2526"/>
      <c r="AQ67" s="2526"/>
      <c r="AR67" s="2526"/>
      <c r="AS67" s="2526"/>
      <c r="AT67" s="2526"/>
      <c r="AU67" s="2526"/>
      <c r="AV67" s="2526"/>
      <c r="AW67" s="2526"/>
      <c r="AX67" s="2526"/>
      <c r="AY67" s="2526"/>
      <c r="AZ67" s="2526"/>
      <c r="BA67" s="2526"/>
      <c r="BB67" s="2526"/>
      <c r="BC67" s="2526"/>
      <c r="BI67" s="1078">
        <v>19</v>
      </c>
    </row>
    <row r="68" spans="1:61" ht="14.65" customHeight="1">
      <c r="O68" s="473"/>
      <c r="BI68" s="1078">
        <v>14</v>
      </c>
    </row>
    <row r="69" spans="1:61" ht="14.25" hidden="1" customHeight="1">
      <c r="A69" s="1083" t="s">
        <v>83</v>
      </c>
      <c r="B69" s="1083">
        <v>0</v>
      </c>
      <c r="C69" s="1083">
        <v>0</v>
      </c>
      <c r="D69" s="1083">
        <v>0</v>
      </c>
      <c r="E69" s="1083">
        <v>0</v>
      </c>
      <c r="F69" s="1083">
        <v>0</v>
      </c>
      <c r="G69" s="1083">
        <v>0</v>
      </c>
      <c r="H69" s="1083">
        <v>0</v>
      </c>
      <c r="I69" s="1083">
        <v>0</v>
      </c>
      <c r="J69" s="1083">
        <v>0</v>
      </c>
      <c r="K69" s="1083">
        <v>0</v>
      </c>
      <c r="L69" s="1384">
        <v>0</v>
      </c>
      <c r="M69" s="1285">
        <v>0</v>
      </c>
      <c r="N69" s="1285">
        <v>0</v>
      </c>
      <c r="O69" s="1285">
        <v>0</v>
      </c>
      <c r="P69" s="1285">
        <v>0</v>
      </c>
      <c r="Q69" s="1294">
        <v>0</v>
      </c>
      <c r="R69" s="281">
        <v>3</v>
      </c>
      <c r="S69" s="517">
        <v>12</v>
      </c>
      <c r="T69" s="1078">
        <v>31</v>
      </c>
      <c r="U69" s="1078">
        <v>0</v>
      </c>
      <c r="V69" s="1078">
        <v>0</v>
      </c>
      <c r="W69" s="1078">
        <v>0</v>
      </c>
      <c r="X69" s="1078">
        <v>0</v>
      </c>
      <c r="Y69" s="1078">
        <v>0</v>
      </c>
      <c r="Z69" s="1078">
        <v>0</v>
      </c>
      <c r="AA69" s="1078">
        <v>0</v>
      </c>
      <c r="AB69" s="1078">
        <v>0</v>
      </c>
      <c r="AC69" s="1078">
        <v>0</v>
      </c>
      <c r="AD69" s="1078">
        <v>3</v>
      </c>
      <c r="AE69" s="1078">
        <v>3</v>
      </c>
      <c r="AF69" s="1078">
        <v>3</v>
      </c>
      <c r="AG69" s="1078">
        <v>24</v>
      </c>
      <c r="AH69" s="1078">
        <v>3</v>
      </c>
      <c r="AI69" s="1078">
        <v>3</v>
      </c>
      <c r="AJ69" s="1078">
        <v>3</v>
      </c>
      <c r="AK69" s="1078">
        <v>24</v>
      </c>
      <c r="AL69" s="1078">
        <v>3</v>
      </c>
      <c r="AM69" s="1078">
        <v>3</v>
      </c>
      <c r="AN69" s="1078">
        <v>3</v>
      </c>
      <c r="AO69" s="1078">
        <v>18</v>
      </c>
      <c r="AP69" s="1078">
        <v>3</v>
      </c>
      <c r="AQ69" s="1078">
        <v>3</v>
      </c>
      <c r="AR69" s="1078">
        <v>3</v>
      </c>
      <c r="AS69" s="1078">
        <v>18</v>
      </c>
      <c r="AT69" s="1078">
        <v>21</v>
      </c>
      <c r="AU69" s="1078">
        <v>21</v>
      </c>
      <c r="AV69" s="1078">
        <v>21</v>
      </c>
      <c r="AW69" s="1078">
        <v>21</v>
      </c>
      <c r="AX69" s="1078">
        <v>11</v>
      </c>
      <c r="AY69" s="1078">
        <v>3</v>
      </c>
      <c r="AZ69" s="1078">
        <v>11</v>
      </c>
      <c r="BA69" s="1078">
        <v>0</v>
      </c>
      <c r="BB69" s="1078">
        <v>4</v>
      </c>
      <c r="BC69" s="1078">
        <v>115</v>
      </c>
      <c r="BD69" s="447">
        <v>10</v>
      </c>
      <c r="BE69" s="447">
        <v>10</v>
      </c>
      <c r="BF69" s="447">
        <v>10</v>
      </c>
      <c r="BG69" s="447">
        <v>10</v>
      </c>
      <c r="BH69" s="447">
        <v>10</v>
      </c>
      <c r="BI69" s="1078">
        <v>23</v>
      </c>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4.140625" style="1289" hidden="1" customWidth="1"/>
    <col min="10" max="10" width="9.85546875" style="1289" hidden="1" customWidth="1"/>
    <col min="11" max="11" width="14.7109375" style="1289" hidden="1" customWidth="1"/>
    <col min="12" max="12" width="19.140625" style="2043" hidden="1" customWidth="1"/>
    <col min="13" max="14" width="12.28515625" style="1696" hidden="1" customWidth="1"/>
    <col min="15" max="15" width="23.42578125" style="1696" hidden="1" customWidth="1"/>
    <col min="16" max="16" width="3" style="2032" customWidth="1"/>
    <col min="17" max="18" width="3" style="281" customWidth="1"/>
    <col min="19" max="19" width="12" style="2033" customWidth="1"/>
    <col min="20" max="20" width="35" style="1558" customWidth="1"/>
    <col min="21" max="21" width="0.140625" style="1558" customWidth="1"/>
    <col min="22" max="24" width="24.7109375" style="1558" hidden="1" customWidth="1"/>
    <col min="25" max="25" width="11.7109375" style="1558" hidden="1" customWidth="1"/>
    <col min="26" max="26" width="3.7109375" style="1558" hidden="1" customWidth="1"/>
    <col min="27" max="27" width="11.7109375" style="1558" hidden="1" customWidth="1"/>
    <col min="28" max="28" width="8.5703125" style="1558" hidden="1" customWidth="1"/>
    <col min="29" max="29" width="24.7109375" style="1558" customWidth="1"/>
    <col min="30" max="31" width="24" style="1558" customWidth="1"/>
    <col min="32" max="32" width="11" style="1558" customWidth="1"/>
    <col min="33" max="33" width="3.7109375" style="1558" customWidth="1"/>
    <col min="34" max="34" width="11" style="1558" customWidth="1"/>
    <col min="35" max="35" width="8.5703125" style="1558" hidden="1" customWidth="1"/>
    <col min="36" max="36" width="4" style="1558" customWidth="1"/>
    <col min="37" max="37" width="115" style="1558" customWidth="1"/>
    <col min="38" max="42" width="10" style="1565" customWidth="1"/>
    <col min="43" max="43" width="10.5703125" style="1558" hidden="1"/>
  </cols>
  <sheetData>
    <row r="1" spans="1:43" ht="22.5" hidden="1" customHeight="1">
      <c r="X1" s="264"/>
      <c r="Y1" s="264"/>
      <c r="AE1" s="264"/>
      <c r="AF1" s="264"/>
      <c r="AQ1" s="1078" t="s">
        <v>14</v>
      </c>
    </row>
    <row r="2" spans="1:43" ht="23.25" hidden="1" customHeight="1">
      <c r="A2" s="1286"/>
      <c r="B2" s="1286"/>
      <c r="C2" s="1286"/>
      <c r="D2" s="1286"/>
      <c r="E2" s="2506">
        <v>1</v>
      </c>
      <c r="F2" s="1286"/>
      <c r="G2" s="1286"/>
      <c r="H2" s="1286"/>
      <c r="I2" s="1286"/>
      <c r="J2" s="1286"/>
      <c r="K2" s="1286"/>
      <c r="L2" s="1287"/>
      <c r="M2" s="1288"/>
      <c r="N2" s="1288"/>
      <c r="O2" s="1288"/>
      <c r="P2" s="297"/>
      <c r="Q2" s="296"/>
      <c r="R2" s="291"/>
      <c r="S2" s="1416" t="e">
        <f>INDEX(PT_DIFFERENTIATION_NUM_NTAR,MATCH(A2,PT_DIFFERENTIATION_NTAR_ID,0))</f>
        <v>#N/A</v>
      </c>
      <c r="T2" s="235" t="s">
        <v>144</v>
      </c>
      <c r="U2" s="237"/>
      <c r="V2" s="2492"/>
      <c r="W2" s="2493"/>
      <c r="X2" s="2493"/>
      <c r="Y2" s="2493"/>
      <c r="Z2" s="2493"/>
      <c r="AA2" s="2493"/>
      <c r="AB2" s="2494"/>
      <c r="AC2" s="2492" t="e">
        <f>INDEX(PT_DIFFERENTIATION_NTAR,MATCH(A2,PT_DIFFERENTIATION_NTAR_ID,0))</f>
        <v>#N/A</v>
      </c>
      <c r="AD2" s="2493"/>
      <c r="AE2" s="2493"/>
      <c r="AF2" s="2493"/>
      <c r="AG2" s="2493"/>
      <c r="AH2" s="2493"/>
      <c r="AI2" s="2493"/>
      <c r="AJ2" s="2494"/>
      <c r="AK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8">
        <v>0</v>
      </c>
    </row>
    <row r="3" spans="1:43" ht="23.25" hidden="1" customHeight="1">
      <c r="A3" s="1286"/>
      <c r="B3" s="1286"/>
      <c r="C3" s="1286"/>
      <c r="D3" s="1286"/>
      <c r="E3" s="2507"/>
      <c r="F3" s="2506">
        <v>1</v>
      </c>
      <c r="G3" s="1286"/>
      <c r="H3" s="1286"/>
      <c r="I3" s="1286"/>
      <c r="J3" s="1286"/>
      <c r="K3" s="1286"/>
      <c r="L3" s="1287"/>
      <c r="M3" s="1288"/>
      <c r="N3" s="1288"/>
      <c r="O3" s="1288"/>
      <c r="P3" s="1410"/>
      <c r="Q3" s="288"/>
      <c r="R3" s="289"/>
      <c r="S3" s="1416" t="e">
        <f>INDEX(PT_DIFFERENTIATION_NUM_TER,MATCH(B3,PT_DIFFERENTIATION_TER_ID,0))</f>
        <v>#N/A</v>
      </c>
      <c r="T3" s="245" t="s">
        <v>416</v>
      </c>
      <c r="U3" s="237"/>
      <c r="V3" s="2492"/>
      <c r="W3" s="2493"/>
      <c r="X3" s="2493"/>
      <c r="Y3" s="2493"/>
      <c r="Z3" s="2493"/>
      <c r="AA3" s="2493"/>
      <c r="AB3" s="2494"/>
      <c r="AC3" s="2492" t="e">
        <f>INDEX(PT_DIFFERENTIATION_TER,MATCH(B3,PT_DIFFERENTIATION_TER_ID,0))</f>
        <v>#N/A</v>
      </c>
      <c r="AD3" s="2493"/>
      <c r="AE3" s="2493"/>
      <c r="AF3" s="2493"/>
      <c r="AG3" s="2493"/>
      <c r="AH3" s="2493"/>
      <c r="AI3" s="2493"/>
      <c r="AJ3" s="2494"/>
      <c r="AK3" s="1181" t="s">
        <v>417</v>
      </c>
      <c r="AM3" s="436"/>
      <c r="AN3" s="436" t="str">
        <f t="shared" si="0"/>
        <v>Территория действия тарифа</v>
      </c>
      <c r="AO3" s="436"/>
      <c r="AP3" s="436"/>
      <c r="AQ3" s="1078">
        <v>0</v>
      </c>
    </row>
    <row r="4" spans="1:43" ht="23.25" hidden="1" customHeight="1">
      <c r="A4" s="1286"/>
      <c r="B4" s="1286"/>
      <c r="C4" s="1286"/>
      <c r="D4" s="1286"/>
      <c r="E4" s="2507"/>
      <c r="F4" s="2507"/>
      <c r="G4" s="2506">
        <v>1</v>
      </c>
      <c r="H4" s="1286"/>
      <c r="I4" s="1286"/>
      <c r="J4" s="1286"/>
      <c r="K4" s="1286"/>
      <c r="L4" s="1287"/>
      <c r="M4" s="1288"/>
      <c r="N4" s="1288"/>
      <c r="O4" s="1288"/>
      <c r="P4" s="290"/>
      <c r="Q4" s="288"/>
      <c r="R4" s="289"/>
      <c r="S4" s="1416" t="e">
        <f>INDEX(PT_DIFFERENTIATION_NUM_CS,MATCH(C4,PT_DIFFERENTIATION_CS_ID,0))</f>
        <v>#N/A</v>
      </c>
      <c r="T4" s="246" t="s">
        <v>533</v>
      </c>
      <c r="U4" s="237"/>
      <c r="V4" s="2492"/>
      <c r="W4" s="2493"/>
      <c r="X4" s="2493"/>
      <c r="Y4" s="2493"/>
      <c r="Z4" s="2493"/>
      <c r="AA4" s="2493"/>
      <c r="AB4" s="2494"/>
      <c r="AC4" s="2492" t="e">
        <f>INDEX(PT_DIFFERENTIATION_CS,MATCH(C4,PT_DIFFERENTIATION_CS_ID,0))</f>
        <v>#N/A</v>
      </c>
      <c r="AD4" s="2493"/>
      <c r="AE4" s="2493"/>
      <c r="AF4" s="2493"/>
      <c r="AG4" s="2493"/>
      <c r="AH4" s="2493"/>
      <c r="AI4" s="2493"/>
      <c r="AJ4" s="2494"/>
      <c r="AK4" s="1181" t="s">
        <v>534</v>
      </c>
      <c r="AM4" s="436"/>
      <c r="AN4" s="436" t="str">
        <f t="shared" si="0"/>
        <v>Наименование централизованной системы водоотведения</v>
      </c>
      <c r="AO4" s="436"/>
      <c r="AP4" s="436"/>
      <c r="AQ4" s="1078">
        <v>0</v>
      </c>
    </row>
    <row r="5" spans="1:43" ht="23.25" hidden="1" customHeight="1">
      <c r="A5" s="1286"/>
      <c r="B5" s="1286"/>
      <c r="C5" s="1286"/>
      <c r="D5" s="1286"/>
      <c r="E5" s="2507"/>
      <c r="F5" s="2507"/>
      <c r="G5" s="2507"/>
      <c r="H5" s="2507"/>
      <c r="I5" s="2504" t="e">
        <f>S4&amp;".1"</f>
        <v>#N/A</v>
      </c>
      <c r="J5" s="1286"/>
      <c r="K5" s="1286"/>
      <c r="L5" s="1287"/>
      <c r="P5" s="2505">
        <v>1</v>
      </c>
      <c r="Q5" s="1404"/>
      <c r="R5" s="292"/>
      <c r="S5" s="1416" t="e">
        <f>$I5</f>
        <v>#N/A</v>
      </c>
      <c r="T5" s="222" t="s">
        <v>500</v>
      </c>
      <c r="U5" s="237"/>
      <c r="V5" s="2576"/>
      <c r="W5" s="2577"/>
      <c r="X5" s="2577"/>
      <c r="Y5" s="2577"/>
      <c r="Z5" s="2577"/>
      <c r="AA5" s="2577"/>
      <c r="AB5" s="2578"/>
      <c r="AC5" s="2579"/>
      <c r="AD5" s="2580"/>
      <c r="AE5" s="2580"/>
      <c r="AF5" s="2580"/>
      <c r="AG5" s="2580"/>
      <c r="AH5" s="2580"/>
      <c r="AI5" s="2580"/>
      <c r="AJ5" s="2581"/>
      <c r="AK5" s="1181" t="s">
        <v>501</v>
      </c>
      <c r="AM5" s="436"/>
      <c r="AN5" s="436" t="str">
        <f t="shared" si="0"/>
        <v>Наименование признака дифференциации</v>
      </c>
      <c r="AO5" s="436"/>
      <c r="AP5" s="436"/>
      <c r="AQ5" s="1078">
        <v>0</v>
      </c>
    </row>
    <row r="6" spans="1:43" ht="23.25" hidden="1" customHeight="1">
      <c r="A6" s="1286"/>
      <c r="B6" s="1286"/>
      <c r="C6" s="1286"/>
      <c r="D6" s="1286"/>
      <c r="E6" s="2507"/>
      <c r="F6" s="2507"/>
      <c r="G6" s="2507"/>
      <c r="H6" s="2507"/>
      <c r="I6" s="2527"/>
      <c r="J6" s="2504" t="e">
        <f>I5&amp;".1"</f>
        <v>#N/A</v>
      </c>
      <c r="K6" s="1286"/>
      <c r="L6" s="1287" t="s">
        <v>425</v>
      </c>
      <c r="P6" s="2505"/>
      <c r="Q6" s="2505">
        <v>1</v>
      </c>
      <c r="R6" s="293"/>
      <c r="S6" s="1416" t="e">
        <f>$J6</f>
        <v>#N/A</v>
      </c>
      <c r="T6" s="223" t="s">
        <v>426</v>
      </c>
      <c r="U6" s="237"/>
      <c r="V6" s="2495"/>
      <c r="W6" s="2496"/>
      <c r="X6" s="2496"/>
      <c r="Y6" s="2496"/>
      <c r="Z6" s="2496"/>
      <c r="AA6" s="2496"/>
      <c r="AB6" s="2497"/>
      <c r="AC6" s="2495"/>
      <c r="AD6" s="2496"/>
      <c r="AE6" s="2496"/>
      <c r="AF6" s="2496"/>
      <c r="AG6" s="2496"/>
      <c r="AH6" s="2496"/>
      <c r="AI6" s="2496"/>
      <c r="AJ6" s="2497"/>
      <c r="AK6" s="1230" t="s">
        <v>502</v>
      </c>
      <c r="AM6" s="436"/>
      <c r="AN6" s="436" t="str">
        <f t="shared" si="0"/>
        <v>Группа потребителей</v>
      </c>
      <c r="AO6" s="436"/>
      <c r="AP6" s="436"/>
      <c r="AQ6" s="1078">
        <v>0</v>
      </c>
    </row>
    <row r="7" spans="1:43" ht="23.25" hidden="1" customHeight="1">
      <c r="A7" s="1286"/>
      <c r="B7" s="1286"/>
      <c r="C7" s="1286"/>
      <c r="D7" s="1286"/>
      <c r="E7" s="2507"/>
      <c r="F7" s="2507"/>
      <c r="G7" s="2507"/>
      <c r="H7" s="2507"/>
      <c r="I7" s="2527"/>
      <c r="J7" s="2527"/>
      <c r="K7" s="2504" t="e">
        <f>J6&amp;".1"</f>
        <v>#N/A</v>
      </c>
      <c r="L7" s="1287"/>
      <c r="P7" s="2505"/>
      <c r="Q7" s="2505"/>
      <c r="R7" s="293">
        <v>1</v>
      </c>
      <c r="S7" s="1416" t="e">
        <f>$K7</f>
        <v>#N/A</v>
      </c>
      <c r="T7" s="1360"/>
      <c r="U7" s="237"/>
      <c r="V7" s="686"/>
      <c r="W7" s="686"/>
      <c r="X7" s="1180"/>
      <c r="Y7" s="2509"/>
      <c r="Z7" s="2360" t="s">
        <v>63</v>
      </c>
      <c r="AA7" s="2509"/>
      <c r="AB7" s="2360" t="s">
        <v>63</v>
      </c>
      <c r="AC7" s="686"/>
      <c r="AD7" s="686"/>
      <c r="AE7" s="1180"/>
      <c r="AF7" s="2509"/>
      <c r="AG7" s="2360" t="s">
        <v>63</v>
      </c>
      <c r="AH7" s="2528"/>
      <c r="AI7" s="2360" t="s">
        <v>63</v>
      </c>
      <c r="AJ7" s="1361"/>
      <c r="AK7" s="257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8">
        <v>0</v>
      </c>
    </row>
    <row r="8" spans="1:43" ht="14.25" hidden="1" customHeight="1">
      <c r="A8" s="1286"/>
      <c r="B8" s="1286"/>
      <c r="C8" s="1286"/>
      <c r="D8" s="1286"/>
      <c r="E8" s="2507"/>
      <c r="F8" s="2507"/>
      <c r="G8" s="2507"/>
      <c r="H8" s="2507"/>
      <c r="I8" s="2527"/>
      <c r="J8" s="2527"/>
      <c r="K8" s="2504"/>
      <c r="L8" s="1287"/>
      <c r="P8" s="2505"/>
      <c r="Q8" s="2505"/>
      <c r="R8" s="293"/>
      <c r="S8" s="1413"/>
      <c r="T8" s="237"/>
      <c r="U8" s="237"/>
      <c r="V8" s="262"/>
      <c r="W8" s="262"/>
      <c r="X8" s="265" t="str">
        <f>Y7&amp;"-"&amp;AA7</f>
        <v>-</v>
      </c>
      <c r="Y8" s="2510"/>
      <c r="Z8" s="2360"/>
      <c r="AA8" s="2510"/>
      <c r="AB8" s="2360"/>
      <c r="AC8" s="262"/>
      <c r="AD8" s="262"/>
      <c r="AE8" s="265" t="str">
        <f>AF7&amp;"-"&amp;AH7</f>
        <v>-</v>
      </c>
      <c r="AF8" s="2510"/>
      <c r="AG8" s="2360"/>
      <c r="AH8" s="2529"/>
      <c r="AI8" s="2360"/>
      <c r="AJ8" s="1362"/>
      <c r="AK8" s="2575"/>
      <c r="AM8" s="436"/>
      <c r="AN8" s="436" t="str">
        <f t="shared" si="0"/>
        <v/>
      </c>
      <c r="AO8" s="436"/>
      <c r="AP8" s="436"/>
      <c r="AQ8" s="1078">
        <v>0</v>
      </c>
    </row>
    <row r="9" spans="1:43" ht="21" hidden="1" customHeight="1">
      <c r="A9" s="1286"/>
      <c r="B9" s="1286"/>
      <c r="C9" s="1286"/>
      <c r="D9" s="1286"/>
      <c r="E9" s="2507"/>
      <c r="F9" s="2507"/>
      <c r="G9" s="2507"/>
      <c r="H9" s="2507"/>
      <c r="I9" s="2527"/>
      <c r="J9" s="2504"/>
      <c r="K9" s="1286"/>
      <c r="L9" s="1287"/>
      <c r="P9" s="2505"/>
      <c r="Q9" s="2505"/>
      <c r="R9" s="292"/>
      <c r="S9" s="1201"/>
      <c r="T9" s="224" t="s">
        <v>503</v>
      </c>
      <c r="U9" s="303"/>
      <c r="V9" s="303"/>
      <c r="W9" s="303"/>
      <c r="X9" s="303"/>
      <c r="Y9" s="303"/>
      <c r="Z9" s="303"/>
      <c r="AA9" s="303"/>
      <c r="AB9" s="303"/>
      <c r="AC9" s="303"/>
      <c r="AD9" s="303"/>
      <c r="AE9" s="303"/>
      <c r="AF9" s="303"/>
      <c r="AG9" s="303"/>
      <c r="AH9" s="303"/>
      <c r="AI9" s="303"/>
      <c r="AJ9" s="303"/>
      <c r="AK9" s="1181" t="s">
        <v>504</v>
      </c>
      <c r="AM9" s="436"/>
      <c r="AN9" s="436" t="str">
        <f t="shared" si="0"/>
        <v>Добавить значение признака дифференциации</v>
      </c>
      <c r="AO9" s="436"/>
      <c r="AP9" s="436"/>
      <c r="AQ9" s="1078">
        <v>0</v>
      </c>
    </row>
    <row r="10" spans="1:43" ht="21" hidden="1" customHeight="1">
      <c r="A10" s="1286"/>
      <c r="B10" s="1286"/>
      <c r="C10" s="1286"/>
      <c r="D10" s="1286"/>
      <c r="E10" s="2507"/>
      <c r="F10" s="2507"/>
      <c r="G10" s="2507"/>
      <c r="H10" s="2507"/>
      <c r="I10" s="2504"/>
      <c r="J10" s="1286"/>
      <c r="K10" s="1286"/>
      <c r="L10" s="1287"/>
      <c r="P10" s="2505"/>
      <c r="Q10" s="1404"/>
      <c r="R10" s="292"/>
      <c r="S10" s="1201"/>
      <c r="T10" s="301" t="s">
        <v>431</v>
      </c>
      <c r="U10" s="303"/>
      <c r="V10" s="303"/>
      <c r="W10" s="303"/>
      <c r="X10" s="303"/>
      <c r="Y10" s="303"/>
      <c r="Z10" s="303"/>
      <c r="AA10" s="303"/>
      <c r="AB10" s="302"/>
      <c r="AC10" s="303"/>
      <c r="AD10" s="303"/>
      <c r="AE10" s="303"/>
      <c r="AF10" s="303"/>
      <c r="AG10" s="303"/>
      <c r="AH10" s="303"/>
      <c r="AI10" s="302"/>
      <c r="AJ10" s="303"/>
      <c r="AK10" s="1363"/>
      <c r="AM10" s="436"/>
      <c r="AN10" s="436" t="str">
        <f t="shared" si="0"/>
        <v>Добавить группу потребителей</v>
      </c>
      <c r="AO10" s="436"/>
      <c r="AP10" s="436"/>
      <c r="AQ10" s="1078">
        <v>0</v>
      </c>
    </row>
    <row r="11" spans="1:43" ht="21" hidden="1" customHeight="1">
      <c r="A11" s="1286"/>
      <c r="B11" s="1286"/>
      <c r="C11" s="1286"/>
      <c r="D11" s="1286"/>
      <c r="E11" s="2507"/>
      <c r="F11" s="2507"/>
      <c r="G11" s="2507"/>
      <c r="H11" s="2506"/>
      <c r="I11" s="1286"/>
      <c r="J11" s="1286"/>
      <c r="K11" s="1286"/>
      <c r="L11" s="1287"/>
      <c r="M11" s="1288"/>
      <c r="N11" s="1288"/>
      <c r="O11" s="473"/>
      <c r="P11" s="296"/>
      <c r="Q11" s="311"/>
      <c r="R11" s="291"/>
      <c r="S11" s="1201"/>
      <c r="T11" s="308" t="s">
        <v>505</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8">
        <v>0</v>
      </c>
    </row>
    <row r="12" spans="1:43" s="1565" customFormat="1" ht="14.25" hidden="1" customHeight="1">
      <c r="A12" s="1266"/>
      <c r="B12" s="1266"/>
      <c r="C12" s="1237"/>
      <c r="D12" s="1237"/>
      <c r="E12" s="2507"/>
      <c r="F12" s="2506"/>
      <c r="G12" s="1237"/>
      <c r="H12" s="1237"/>
      <c r="I12" s="1237"/>
      <c r="J12" s="1237"/>
      <c r="K12" s="1237"/>
      <c r="L12" s="1417"/>
      <c r="M12" s="1244"/>
      <c r="N12" s="1244"/>
      <c r="P12" s="1239"/>
      <c r="Q12" s="1240"/>
      <c r="R12" s="1239"/>
      <c r="S12" s="1245"/>
      <c r="T12" s="1248" t="s">
        <v>434</v>
      </c>
      <c r="U12" s="1247"/>
      <c r="V12" s="1247"/>
      <c r="W12" s="1247"/>
      <c r="X12" s="1247"/>
      <c r="Y12" s="1247"/>
      <c r="Z12" s="1247"/>
      <c r="AA12" s="1247"/>
      <c r="AB12" s="1247"/>
      <c r="AC12" s="1247"/>
      <c r="AD12" s="1247"/>
      <c r="AE12" s="1247"/>
      <c r="AF12" s="1247"/>
      <c r="AG12" s="1247"/>
      <c r="AH12" s="1247"/>
      <c r="AI12" s="1247"/>
      <c r="AJ12" s="1247"/>
      <c r="AK12" s="1247"/>
      <c r="AM12" s="718"/>
      <c r="AN12" s="718" t="str">
        <f t="shared" si="0"/>
        <v>Добавить централизованную систему для дифференциации</v>
      </c>
      <c r="AO12" s="718"/>
      <c r="AP12" s="718"/>
      <c r="AQ12" s="454">
        <v>0</v>
      </c>
    </row>
    <row r="13" spans="1:43" s="1565" customFormat="1" ht="14.25" hidden="1" customHeight="1">
      <c r="A13" s="1266"/>
      <c r="B13" s="1266"/>
      <c r="C13" s="1266"/>
      <c r="D13" s="1266"/>
      <c r="E13" s="2506"/>
      <c r="F13" s="1266"/>
      <c r="G13" s="1266"/>
      <c r="H13" s="1266"/>
      <c r="I13" s="1266"/>
      <c r="J13" s="1266"/>
      <c r="K13" s="1266"/>
      <c r="L13" s="1269"/>
      <c r="M13" s="1244"/>
      <c r="N13" s="1244"/>
      <c r="O13" s="454"/>
      <c r="P13" s="316"/>
      <c r="Q13" s="1267"/>
      <c r="R13" s="316"/>
      <c r="S13" s="1245"/>
      <c r="T13" s="1248" t="s">
        <v>435</v>
      </c>
      <c r="U13" s="1247"/>
      <c r="V13" s="1247"/>
      <c r="W13" s="1247"/>
      <c r="X13" s="1247"/>
      <c r="Y13" s="1247"/>
      <c r="Z13" s="1247"/>
      <c r="AA13" s="1247"/>
      <c r="AB13" s="1247"/>
      <c r="AC13" s="1247"/>
      <c r="AD13" s="1247"/>
      <c r="AE13" s="1247"/>
      <c r="AF13" s="1247"/>
      <c r="AG13" s="1247"/>
      <c r="AH13" s="1247"/>
      <c r="AI13" s="1247"/>
      <c r="AJ13" s="1247"/>
      <c r="AK13" s="1247"/>
      <c r="AM13" s="436"/>
      <c r="AN13" s="436" t="str">
        <f t="shared" si="0"/>
        <v>Добавить территорию для дифференциации</v>
      </c>
      <c r="AO13" s="436"/>
      <c r="AP13" s="436"/>
      <c r="AQ13" s="447">
        <v>0</v>
      </c>
    </row>
    <row r="14" spans="1:43" ht="14.25" hidden="1" customHeight="1">
      <c r="AB14" s="264"/>
      <c r="AI14" s="264"/>
      <c r="AQ14" s="1078">
        <v>0</v>
      </c>
    </row>
    <row r="15" spans="1:43" ht="14.25" hidden="1" customHeight="1">
      <c r="AC15" s="1283"/>
      <c r="AD15" s="1283"/>
      <c r="AE15" s="1284"/>
      <c r="AF15" s="2511"/>
      <c r="AG15" s="2512" t="s">
        <v>63</v>
      </c>
      <c r="AH15" s="2511"/>
      <c r="AI15" s="2512" t="s">
        <v>63</v>
      </c>
      <c r="AQ15" s="1078">
        <v>0</v>
      </c>
    </row>
    <row r="16" spans="1:43" ht="14.25" hidden="1" customHeight="1">
      <c r="AC16" s="1283"/>
      <c r="AD16" s="1283"/>
      <c r="AE16" s="265" t="str">
        <f>AF15&amp;"-"&amp;AH15</f>
        <v>-</v>
      </c>
      <c r="AF16" s="2512"/>
      <c r="AG16" s="2512"/>
      <c r="AH16" s="2512"/>
      <c r="AI16" s="2512"/>
      <c r="AQ16" s="1078">
        <v>0</v>
      </c>
    </row>
    <row r="17" spans="1:43" ht="14.25" hidden="1" customHeight="1">
      <c r="AI17" s="264"/>
      <c r="AQ17" s="1078">
        <v>0</v>
      </c>
    </row>
    <row r="18" spans="1:43" s="1289" customFormat="1" ht="22.5" hidden="1" customHeight="1">
      <c r="L18" s="1401"/>
      <c r="M18" s="1285"/>
      <c r="N18" s="1285"/>
      <c r="O18" s="1290" t="s">
        <v>436</v>
      </c>
      <c r="P18" s="1285"/>
      <c r="Q18" s="1294"/>
      <c r="R18" s="1294"/>
      <c r="S18" s="665"/>
      <c r="Y18" s="1290"/>
      <c r="AA18" s="1290"/>
      <c r="AF18" s="1290"/>
      <c r="AH18" s="1290"/>
      <c r="AL18" s="447"/>
      <c r="AM18" s="447"/>
      <c r="AN18" s="447"/>
      <c r="AO18" s="447"/>
      <c r="AP18" s="447"/>
      <c r="AQ18" s="1083">
        <v>0</v>
      </c>
    </row>
    <row r="19" spans="1:43" s="1289" customFormat="1" ht="14.25" hidden="1" customHeight="1">
      <c r="L19" s="1401"/>
      <c r="M19" s="1285"/>
      <c r="N19" s="1285"/>
      <c r="O19" s="1285"/>
      <c r="P19" s="1285"/>
      <c r="Q19" s="1294"/>
      <c r="R19" s="1294"/>
      <c r="S19" s="665"/>
      <c r="AL19" s="447"/>
      <c r="AM19" s="447"/>
      <c r="AN19" s="447"/>
      <c r="AO19" s="447"/>
      <c r="AP19" s="447"/>
      <c r="AQ19" s="1083">
        <v>0</v>
      </c>
    </row>
    <row r="20" spans="1:43" s="1289" customFormat="1" ht="12" hidden="1" customHeight="1">
      <c r="L20" s="1401"/>
      <c r="M20" s="1285"/>
      <c r="N20" s="1285"/>
      <c r="O20" s="1287" t="s">
        <v>437</v>
      </c>
      <c r="P20" s="1285"/>
      <c r="Q20" s="1365"/>
      <c r="R20" s="1365"/>
      <c r="S20" s="665"/>
      <c r="T20" s="1083" t="s">
        <v>438</v>
      </c>
      <c r="Z20" s="123" t="s">
        <v>439</v>
      </c>
      <c r="AB20" s="123" t="s">
        <v>440</v>
      </c>
      <c r="AC20" s="1083" t="s">
        <v>438</v>
      </c>
      <c r="AG20" s="123" t="s">
        <v>441</v>
      </c>
      <c r="AI20" s="123" t="s">
        <v>440</v>
      </c>
      <c r="AQ20" s="1083">
        <v>0</v>
      </c>
    </row>
    <row r="21" spans="1:43" ht="14.25" hidden="1" customHeight="1">
      <c r="O21" s="1287"/>
      <c r="AQ21" s="1078">
        <v>0</v>
      </c>
    </row>
    <row r="22" spans="1:43" ht="14.25" hidden="1" customHeight="1">
      <c r="O22" s="1287"/>
      <c r="AQ22" s="1078">
        <v>0</v>
      </c>
    </row>
    <row r="23" spans="1:43" ht="14.65" customHeight="1">
      <c r="Q23" s="312"/>
      <c r="R23" s="312"/>
      <c r="S23" s="1198"/>
      <c r="T23" s="299"/>
      <c r="U23" s="299"/>
      <c r="V23" s="445"/>
      <c r="W23" s="445"/>
      <c r="X23" s="445"/>
      <c r="Y23" s="445"/>
      <c r="Z23" s="445"/>
      <c r="AA23" s="445"/>
      <c r="AB23" s="445"/>
      <c r="AC23" s="445"/>
      <c r="AD23" s="445"/>
      <c r="AE23" s="445"/>
      <c r="AF23" s="445"/>
      <c r="AG23" s="445"/>
      <c r="AH23" s="445"/>
      <c r="AI23" s="445"/>
      <c r="AQ23" s="1078">
        <v>14</v>
      </c>
    </row>
    <row r="24" spans="1:43" ht="14.65" customHeight="1">
      <c r="Q24" s="312"/>
      <c r="R24" s="312"/>
      <c r="S24" s="249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490"/>
      <c r="U24" s="2490"/>
      <c r="V24" s="2490"/>
      <c r="W24" s="2490"/>
      <c r="X24" s="2490"/>
      <c r="Y24" s="2490"/>
      <c r="Z24" s="2490"/>
      <c r="AA24" s="2490"/>
      <c r="AB24" s="2490"/>
      <c r="AC24" s="2490"/>
      <c r="AD24" s="2490"/>
      <c r="AE24" s="2490"/>
      <c r="AF24" s="2490"/>
      <c r="AG24" s="2490"/>
      <c r="AH24" s="2490"/>
      <c r="AI24" s="1166"/>
      <c r="AQ24" s="1078">
        <v>14</v>
      </c>
    </row>
    <row r="25" spans="1:43" ht="14.65" customHeight="1">
      <c r="Q25" s="312"/>
      <c r="R25" s="312"/>
      <c r="S25" s="2436" t="str">
        <f>IF(org=0,"Не определено",org)</f>
        <v>ПАО "ТГК-2"</v>
      </c>
      <c r="T25" s="2436"/>
      <c r="U25" s="2436"/>
      <c r="V25" s="2436"/>
      <c r="W25" s="2436"/>
      <c r="X25" s="2436"/>
      <c r="Y25" s="2436"/>
      <c r="Z25" s="2436"/>
      <c r="AA25" s="2436"/>
      <c r="AB25" s="2436"/>
      <c r="AC25" s="2436"/>
      <c r="AD25" s="2436"/>
      <c r="AE25" s="2436"/>
      <c r="AF25" s="2436"/>
      <c r="AG25" s="2436"/>
      <c r="AH25" s="2436"/>
      <c r="AI25" s="1166"/>
      <c r="AQ25" s="1078">
        <v>14</v>
      </c>
    </row>
    <row r="26" spans="1:43" ht="14.25" hidden="1" customHeight="1">
      <c r="Q26" s="312"/>
      <c r="R26" s="312"/>
      <c r="S26" s="1198"/>
      <c r="T26" s="299"/>
      <c r="U26" s="299"/>
      <c r="V26" s="259"/>
      <c r="W26" s="259"/>
      <c r="X26" s="259"/>
      <c r="Y26" s="259"/>
      <c r="Z26" s="259"/>
      <c r="AA26" s="259"/>
      <c r="AB26" s="259"/>
      <c r="AC26" s="259"/>
      <c r="AD26" s="259"/>
      <c r="AE26" s="259"/>
      <c r="AF26" s="259"/>
      <c r="AG26" s="259"/>
      <c r="AH26" s="259"/>
      <c r="AI26" s="259"/>
      <c r="AJ26" s="445"/>
      <c r="AQ26" s="1078">
        <v>0</v>
      </c>
    </row>
    <row r="27" spans="1:43" s="1770" customFormat="1" ht="25.5" hidden="1" customHeight="1">
      <c r="A27" s="1291"/>
      <c r="B27" s="1291"/>
      <c r="C27" s="1291"/>
      <c r="D27" s="1291"/>
      <c r="E27" s="1291"/>
      <c r="F27" s="1291"/>
      <c r="G27" s="1291"/>
      <c r="H27" s="1291"/>
      <c r="I27" s="1291"/>
      <c r="J27" s="1291"/>
      <c r="K27" s="1291"/>
      <c r="L27" s="1292"/>
      <c r="M27" s="1291"/>
      <c r="N27" s="1291"/>
      <c r="O27" s="1291"/>
      <c r="S27" s="249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498"/>
      <c r="U27" s="1295"/>
      <c r="V27" s="2499" t="str">
        <f>IF(TITLE_NAME_OR_PR_CHANGE="",IF(TITLE_NAME_OR_PR="","",TITLE_NAME_OR_PR),TITLE_NAME_OR_PR_CHANGE)</f>
        <v/>
      </c>
      <c r="W27" s="2499"/>
      <c r="X27" s="2499"/>
      <c r="Y27" s="2499"/>
      <c r="Z27" s="2499"/>
      <c r="AA27" s="2499"/>
      <c r="AB27" s="263"/>
      <c r="AC27" s="2499" t="str">
        <f>IF(TITLE_NAME_OR_PR_CHANGE="",IF(TITLE_NAME_OR_PR="","",TITLE_NAME_OR_PR),TITLE_NAME_OR_PR_CHANGE)</f>
        <v/>
      </c>
      <c r="AD27" s="2499"/>
      <c r="AE27" s="2499"/>
      <c r="AF27" s="2499"/>
      <c r="AG27" s="2499"/>
      <c r="AH27" s="2499"/>
      <c r="AI27" s="263"/>
      <c r="AJ27" s="263"/>
      <c r="AK27" s="217"/>
      <c r="AL27" s="304"/>
      <c r="AM27" s="304"/>
      <c r="AN27" s="304"/>
      <c r="AO27" s="304"/>
      <c r="AP27" s="304"/>
      <c r="AQ27" s="354">
        <v>0</v>
      </c>
    </row>
    <row r="28" spans="1:43" s="1770" customFormat="1" ht="18.75" hidden="1" customHeight="1">
      <c r="A28" s="1291"/>
      <c r="B28" s="1291"/>
      <c r="C28" s="1291"/>
      <c r="D28" s="1291"/>
      <c r="E28" s="1291"/>
      <c r="F28" s="1291"/>
      <c r="G28" s="1291"/>
      <c r="H28" s="1291"/>
      <c r="I28" s="1291"/>
      <c r="J28" s="1291"/>
      <c r="K28" s="1291"/>
      <c r="L28" s="1292"/>
      <c r="M28" s="1291"/>
      <c r="N28" s="1291"/>
      <c r="O28" s="1291"/>
      <c r="S28" s="2498" t="str">
        <f>"Дата документа об "&amp;IF(TITLE_DATE_PR_CHANGE="","утверждении","изменении")&amp;" тарифов"</f>
        <v>Дата документа об утверждении тарифов</v>
      </c>
      <c r="T28" s="2498"/>
      <c r="U28" s="1295"/>
      <c r="V28" s="2508" t="str">
        <f>IF(TITLE_DATE_PR_CHANGE="",IF(TITLE_DATE_PR="","",TITLE_DATE_PR),TITLE_DATE_PR_CHANGE)</f>
        <v/>
      </c>
      <c r="W28" s="2508"/>
      <c r="X28" s="2508"/>
      <c r="Y28" s="2508"/>
      <c r="Z28" s="2508"/>
      <c r="AA28" s="2508"/>
      <c r="AB28" s="263"/>
      <c r="AC28" s="2508" t="str">
        <f>IF(TITLE_DATE_PR_CHANGE="",IF(TITLE_DATE_PR="","",TITLE_DATE_PR),TITLE_DATE_PR_CHANGE)</f>
        <v/>
      </c>
      <c r="AD28" s="2508"/>
      <c r="AE28" s="2508"/>
      <c r="AF28" s="2508"/>
      <c r="AG28" s="2508"/>
      <c r="AH28" s="2508"/>
      <c r="AI28" s="263"/>
      <c r="AJ28" s="263"/>
      <c r="AK28" s="217"/>
      <c r="AL28" s="304"/>
      <c r="AM28" s="304"/>
      <c r="AN28" s="304"/>
      <c r="AO28" s="304"/>
      <c r="AP28" s="304"/>
      <c r="AQ28" s="354">
        <v>0</v>
      </c>
    </row>
    <row r="29" spans="1:43" s="1770" customFormat="1" ht="18.75" hidden="1" customHeight="1">
      <c r="A29" s="1291"/>
      <c r="B29" s="1291"/>
      <c r="C29" s="1291"/>
      <c r="D29" s="1291"/>
      <c r="E29" s="1291"/>
      <c r="F29" s="1291"/>
      <c r="G29" s="1291"/>
      <c r="H29" s="1291"/>
      <c r="I29" s="1291"/>
      <c r="J29" s="1291"/>
      <c r="K29" s="1291"/>
      <c r="L29" s="1292"/>
      <c r="M29" s="1291"/>
      <c r="N29" s="1291"/>
      <c r="O29" s="1291"/>
      <c r="S29" s="2498" t="str">
        <f>"Номер документа об "&amp;IF(TITLE_DATE_PR_CHANGE="","утверждении","изменении")&amp;" тарифов"</f>
        <v>Номер документа об утверждении тарифов</v>
      </c>
      <c r="T29" s="2498"/>
      <c r="U29" s="1295"/>
      <c r="V29" s="2499" t="str">
        <f>IF(TITLE_NUMBER_PR_CHANGE="",IF(TITLE_NUMBER_PR="","",TITLE_NUMBER_PR),TITLE_NUMBER_PR_CHANGE)</f>
        <v/>
      </c>
      <c r="W29" s="2499"/>
      <c r="X29" s="2499"/>
      <c r="Y29" s="2499"/>
      <c r="Z29" s="2499"/>
      <c r="AA29" s="2499"/>
      <c r="AB29" s="263"/>
      <c r="AC29" s="2499" t="str">
        <f>IF(TITLE_NUMBER_PR_CHANGE="",IF(TITLE_NUMBER_PR="","",TITLE_NUMBER_PR),TITLE_NUMBER_PR_CHANGE)</f>
        <v/>
      </c>
      <c r="AD29" s="2499"/>
      <c r="AE29" s="2499"/>
      <c r="AF29" s="2499"/>
      <c r="AG29" s="2499"/>
      <c r="AH29" s="2499"/>
      <c r="AI29" s="263"/>
      <c r="AJ29" s="263"/>
      <c r="AK29" s="217"/>
      <c r="AL29" s="304"/>
      <c r="AM29" s="304"/>
      <c r="AN29" s="304"/>
      <c r="AO29" s="304"/>
      <c r="AP29" s="304"/>
      <c r="AQ29" s="354">
        <v>0</v>
      </c>
    </row>
    <row r="30" spans="1:43" s="1770" customFormat="1" ht="18.75" hidden="1" customHeight="1">
      <c r="A30" s="1291"/>
      <c r="B30" s="1291"/>
      <c r="C30" s="1291"/>
      <c r="D30" s="1291"/>
      <c r="E30" s="1291"/>
      <c r="F30" s="1291"/>
      <c r="G30" s="1291"/>
      <c r="H30" s="1291"/>
      <c r="I30" s="1291"/>
      <c r="J30" s="1291"/>
      <c r="K30" s="1291"/>
      <c r="L30" s="1292"/>
      <c r="M30" s="1291"/>
      <c r="N30" s="1291"/>
      <c r="O30" s="1291"/>
      <c r="S30" s="2498" t="s">
        <v>43</v>
      </c>
      <c r="T30" s="2498"/>
      <c r="U30" s="1295"/>
      <c r="V30" s="2499" t="str">
        <f>IF(TITLE_IST_PUB_CHANGE="",IF(TITLE_IST_PUB="","",TITLE_IST_PUB),TITLE_IST_PUB_CHANGE)</f>
        <v/>
      </c>
      <c r="W30" s="2499"/>
      <c r="X30" s="2499"/>
      <c r="Y30" s="2499"/>
      <c r="Z30" s="2499"/>
      <c r="AA30" s="2499"/>
      <c r="AB30" s="263"/>
      <c r="AC30" s="2499" t="str">
        <f>IF(TITLE_IST_PUB_CHANGE="",IF(TITLE_IST_PUB="","",TITLE_IST_PUB),TITLE_IST_PUB_CHANGE)</f>
        <v/>
      </c>
      <c r="AD30" s="2499"/>
      <c r="AE30" s="2499"/>
      <c r="AF30" s="2499"/>
      <c r="AG30" s="2499"/>
      <c r="AH30" s="2499"/>
      <c r="AI30" s="263"/>
      <c r="AJ30" s="263"/>
      <c r="AK30" s="217"/>
      <c r="AL30" s="304"/>
      <c r="AM30" s="304"/>
      <c r="AN30" s="304"/>
      <c r="AO30" s="304"/>
      <c r="AP30" s="304"/>
      <c r="AQ30" s="354">
        <v>0</v>
      </c>
    </row>
    <row r="31" spans="1:43" ht="14.25" hidden="1" customHeight="1">
      <c r="Q31" s="312"/>
      <c r="R31" s="312"/>
      <c r="S31" s="1198"/>
      <c r="T31" s="393"/>
      <c r="U31" s="299"/>
      <c r="V31" s="259"/>
      <c r="W31" s="259"/>
      <c r="X31" s="259"/>
      <c r="Y31" s="259"/>
      <c r="Z31" s="259"/>
      <c r="AA31" s="259"/>
      <c r="AB31" s="259"/>
      <c r="AC31" s="259"/>
      <c r="AD31" s="259"/>
      <c r="AE31" s="259"/>
      <c r="AF31" s="259"/>
      <c r="AG31" s="259"/>
      <c r="AH31" s="259"/>
      <c r="AI31" s="259"/>
      <c r="AJ31" s="445"/>
      <c r="AQ31" s="1078">
        <v>0</v>
      </c>
    </row>
    <row r="32" spans="1:43" s="1770" customFormat="1" ht="18.75" hidden="1" customHeight="1">
      <c r="A32" s="1291"/>
      <c r="B32" s="1291"/>
      <c r="C32" s="1291"/>
      <c r="D32" s="1291"/>
      <c r="E32" s="1291"/>
      <c r="F32" s="1291"/>
      <c r="G32" s="1291"/>
      <c r="H32" s="1291"/>
      <c r="I32" s="1291"/>
      <c r="J32" s="1291"/>
      <c r="K32" s="1291"/>
      <c r="L32" s="1292"/>
      <c r="M32" s="1291"/>
      <c r="N32" s="1291"/>
      <c r="O32" s="1291"/>
      <c r="S32" s="2498" t="str">
        <f>"Дата подачи заявления об "&amp;IF(TITLE_DATE_PR_CHANGE="","утверждении","изменении")&amp;" тарифов"</f>
        <v>Дата подачи заявления об утверждении тарифов</v>
      </c>
      <c r="T32" s="2498"/>
      <c r="U32" s="1295"/>
      <c r="V32" s="2508" t="str">
        <f>IF(TITLE_DATE_PR_CHANGE="",IF(TITLE_DATE_PR="","",TITLE_DATE_PR),TITLE_DATE_PR_CHANGE)</f>
        <v/>
      </c>
      <c r="W32" s="2508"/>
      <c r="X32" s="2508"/>
      <c r="Y32" s="2508"/>
      <c r="Z32" s="2508"/>
      <c r="AA32" s="2508"/>
      <c r="AB32" s="263"/>
      <c r="AC32" s="2508" t="str">
        <f>IF(TITLE_DATE_PR_CHANGE="",IF(TITLE_DATE_PR="","",TITLE_DATE_PR),TITLE_DATE_PR_CHANGE)</f>
        <v/>
      </c>
      <c r="AD32" s="2508"/>
      <c r="AE32" s="2508"/>
      <c r="AF32" s="2508"/>
      <c r="AG32" s="2508"/>
      <c r="AH32" s="2508"/>
      <c r="AI32" s="263"/>
      <c r="AJ32" s="263"/>
      <c r="AK32" s="217"/>
      <c r="AL32" s="304"/>
      <c r="AM32" s="304"/>
      <c r="AN32" s="304"/>
      <c r="AO32" s="304"/>
      <c r="AP32" s="304"/>
      <c r="AQ32" s="354">
        <v>0</v>
      </c>
    </row>
    <row r="33" spans="1:43" s="1770" customFormat="1" ht="18.75" hidden="1" customHeight="1">
      <c r="A33" s="1291"/>
      <c r="B33" s="1291"/>
      <c r="C33" s="1291"/>
      <c r="D33" s="1291"/>
      <c r="E33" s="1291"/>
      <c r="F33" s="1291"/>
      <c r="G33" s="1291"/>
      <c r="H33" s="1291"/>
      <c r="I33" s="1291"/>
      <c r="J33" s="1291"/>
      <c r="K33" s="1291"/>
      <c r="L33" s="1292"/>
      <c r="M33" s="1291"/>
      <c r="N33" s="1291"/>
      <c r="O33" s="1291"/>
      <c r="S33" s="2498" t="str">
        <f>"Номер подачи заявления об "&amp;IF(TITLE_DATE_PR_CHANGE="","утверждении","изменении")&amp;" тарифов"</f>
        <v>Номер подачи заявления об утверждении тарифов</v>
      </c>
      <c r="T33" s="2498"/>
      <c r="U33" s="1295"/>
      <c r="V33" s="2499" t="str">
        <f>IF(TITLE_NUMBER_PR_CHANGE="",IF(TITLE_NUMBER_PR="","",TITLE_NUMBER_PR),TITLE_NUMBER_PR_CHANGE)</f>
        <v/>
      </c>
      <c r="W33" s="2499"/>
      <c r="X33" s="2499"/>
      <c r="Y33" s="2499"/>
      <c r="Z33" s="2499"/>
      <c r="AA33" s="2499"/>
      <c r="AB33" s="263"/>
      <c r="AC33" s="2499" t="str">
        <f>IF(TITLE_NUMBER_PR_CHANGE="",IF(TITLE_NUMBER_PR="","",TITLE_NUMBER_PR),TITLE_NUMBER_PR_CHANGE)</f>
        <v/>
      </c>
      <c r="AD33" s="2499"/>
      <c r="AE33" s="2499"/>
      <c r="AF33" s="2499"/>
      <c r="AG33" s="2499"/>
      <c r="AH33" s="2499"/>
      <c r="AI33" s="263"/>
      <c r="AJ33" s="263"/>
      <c r="AK33" s="217"/>
      <c r="AL33" s="304"/>
      <c r="AM33" s="304"/>
      <c r="AN33" s="304"/>
      <c r="AO33" s="304"/>
      <c r="AP33" s="304"/>
      <c r="AQ33" s="354">
        <v>0</v>
      </c>
    </row>
    <row r="34" spans="1:43" s="1770" customFormat="1" ht="1.1499999999999999" customHeight="1">
      <c r="A34" s="1291"/>
      <c r="B34" s="1291"/>
      <c r="C34" s="1291"/>
      <c r="D34" s="1291"/>
      <c r="E34" s="1291"/>
      <c r="F34" s="1291"/>
      <c r="G34" s="1291"/>
      <c r="H34" s="1291"/>
      <c r="I34" s="1291"/>
      <c r="J34" s="1291"/>
      <c r="K34" s="1291"/>
      <c r="L34" s="1292"/>
      <c r="M34" s="1291"/>
      <c r="N34" s="1291"/>
      <c r="O34" s="1291"/>
      <c r="S34" s="260"/>
      <c r="T34" s="260"/>
      <c r="U34" s="1411"/>
      <c r="V34" s="263"/>
      <c r="W34" s="263"/>
      <c r="X34" s="263"/>
      <c r="Y34" s="263"/>
      <c r="Z34" s="263"/>
      <c r="AA34" s="263"/>
      <c r="AB34" s="215" t="s">
        <v>442</v>
      </c>
      <c r="AC34" s="263"/>
      <c r="AD34" s="263"/>
      <c r="AE34" s="263"/>
      <c r="AF34" s="263"/>
      <c r="AG34" s="263"/>
      <c r="AH34" s="263"/>
      <c r="AI34" s="215" t="s">
        <v>442</v>
      </c>
      <c r="AL34" s="304"/>
      <c r="AM34" s="304"/>
      <c r="AN34" s="304"/>
      <c r="AO34" s="304"/>
      <c r="AP34" s="304"/>
      <c r="AQ34" s="354">
        <v>1</v>
      </c>
    </row>
    <row r="35" spans="1:43" ht="14.65" customHeight="1">
      <c r="Q35" s="312"/>
      <c r="R35" s="312"/>
      <c r="S35" s="1198"/>
      <c r="T35" s="299"/>
      <c r="U35" s="1167"/>
      <c r="V35" s="2500"/>
      <c r="W35" s="2500"/>
      <c r="X35" s="2500"/>
      <c r="Y35" s="2500"/>
      <c r="Z35" s="2500"/>
      <c r="AA35" s="2500"/>
      <c r="AB35" s="2500"/>
      <c r="AC35" s="2500"/>
      <c r="AD35" s="2500"/>
      <c r="AE35" s="2500"/>
      <c r="AF35" s="2500"/>
      <c r="AG35" s="2500"/>
      <c r="AH35" s="2500"/>
      <c r="AI35" s="2500"/>
      <c r="AQ35" s="1078">
        <v>14</v>
      </c>
    </row>
    <row r="36" spans="1:43" ht="14.65" customHeight="1">
      <c r="Q36" s="312"/>
      <c r="R36" s="312"/>
      <c r="S36" s="2371" t="s">
        <v>319</v>
      </c>
      <c r="T36" s="2371"/>
      <c r="U36" s="2371"/>
      <c r="V36" s="2371"/>
      <c r="W36" s="2371"/>
      <c r="X36" s="2371"/>
      <c r="Y36" s="2371"/>
      <c r="Z36" s="2371"/>
      <c r="AA36" s="2371"/>
      <c r="AB36" s="2371"/>
      <c r="AC36" s="2371"/>
      <c r="AD36" s="2371"/>
      <c r="AE36" s="2371"/>
      <c r="AF36" s="2371"/>
      <c r="AG36" s="2371"/>
      <c r="AH36" s="2371"/>
      <c r="AI36" s="2371"/>
      <c r="AJ36" s="2371"/>
      <c r="AK36" s="2371" t="s">
        <v>320</v>
      </c>
      <c r="AQ36" s="1078">
        <v>14</v>
      </c>
    </row>
    <row r="37" spans="1:43" ht="14.65" customHeight="1">
      <c r="Q37" s="312"/>
      <c r="R37" s="312"/>
      <c r="S37" s="2514" t="s">
        <v>89</v>
      </c>
      <c r="T37" s="2466" t="s">
        <v>443</v>
      </c>
      <c r="U37" s="238"/>
      <c r="V37" s="2515" t="s">
        <v>444</v>
      </c>
      <c r="W37" s="2516"/>
      <c r="X37" s="2516"/>
      <c r="Y37" s="2516"/>
      <c r="Z37" s="2516"/>
      <c r="AA37" s="2517"/>
      <c r="AB37" s="2518" t="s">
        <v>445</v>
      </c>
      <c r="AC37" s="2515" t="s">
        <v>444</v>
      </c>
      <c r="AD37" s="2516"/>
      <c r="AE37" s="2516"/>
      <c r="AF37" s="2516"/>
      <c r="AG37" s="2516"/>
      <c r="AH37" s="2517"/>
      <c r="AI37" s="2518" t="s">
        <v>446</v>
      </c>
      <c r="AJ37" s="2521" t="s">
        <v>447</v>
      </c>
      <c r="AK37" s="2371"/>
      <c r="AQ37" s="1078">
        <v>14</v>
      </c>
    </row>
    <row r="38" spans="1:43" ht="35.65" customHeight="1">
      <c r="Q38" s="312"/>
      <c r="R38" s="312"/>
      <c r="S38" s="2514"/>
      <c r="T38" s="2466"/>
      <c r="U38" s="958"/>
      <c r="V38" s="1406" t="s">
        <v>506</v>
      </c>
      <c r="W38" s="2350" t="s">
        <v>450</v>
      </c>
      <c r="X38" s="2349"/>
      <c r="Y38" s="2350" t="s">
        <v>451</v>
      </c>
      <c r="Z38" s="2356"/>
      <c r="AA38" s="2349"/>
      <c r="AB38" s="2519"/>
      <c r="AC38" s="1406" t="s">
        <v>506</v>
      </c>
      <c r="AD38" s="2350" t="s">
        <v>450</v>
      </c>
      <c r="AE38" s="2349"/>
      <c r="AF38" s="2350" t="s">
        <v>451</v>
      </c>
      <c r="AG38" s="2356"/>
      <c r="AH38" s="2349"/>
      <c r="AI38" s="2519"/>
      <c r="AJ38" s="2522"/>
      <c r="AK38" s="2371"/>
      <c r="AQ38" s="1078">
        <v>34</v>
      </c>
    </row>
    <row r="39" spans="1:43" ht="90.4" customHeight="1">
      <c r="A39" s="1293"/>
      <c r="B39" s="1293" t="s">
        <v>156</v>
      </c>
      <c r="C39" s="1293" t="s">
        <v>157</v>
      </c>
      <c r="D39" s="1293" t="s">
        <v>158</v>
      </c>
      <c r="E39" s="1287" t="s">
        <v>452</v>
      </c>
      <c r="F39" s="1287" t="s">
        <v>453</v>
      </c>
      <c r="G39" s="1287" t="s">
        <v>454</v>
      </c>
      <c r="H39" s="1287"/>
      <c r="I39" s="1287" t="s">
        <v>507</v>
      </c>
      <c r="J39" s="1287" t="s">
        <v>457</v>
      </c>
      <c r="K39" s="1287" t="s">
        <v>508</v>
      </c>
      <c r="L39" s="1287" t="s">
        <v>437</v>
      </c>
      <c r="Q39" s="312"/>
      <c r="R39" s="312"/>
      <c r="S39" s="2514"/>
      <c r="T39" s="2466"/>
      <c r="U39" s="239"/>
      <c r="V39" s="1406" t="s">
        <v>535</v>
      </c>
      <c r="W39" s="1145" t="s">
        <v>536</v>
      </c>
      <c r="X39" s="1145" t="s">
        <v>511</v>
      </c>
      <c r="Y39" s="1412" t="s">
        <v>461</v>
      </c>
      <c r="Z39" s="2474" t="s">
        <v>462</v>
      </c>
      <c r="AA39" s="2476"/>
      <c r="AB39" s="2520"/>
      <c r="AC39" s="1406" t="s">
        <v>535</v>
      </c>
      <c r="AD39" s="1145" t="s">
        <v>536</v>
      </c>
      <c r="AE39" s="1145" t="s">
        <v>511</v>
      </c>
      <c r="AF39" s="1412" t="s">
        <v>461</v>
      </c>
      <c r="AG39" s="2474" t="s">
        <v>462</v>
      </c>
      <c r="AH39" s="2476"/>
      <c r="AI39" s="2520"/>
      <c r="AJ39" s="2523"/>
      <c r="AK39" s="2371"/>
      <c r="AQ39" s="1078">
        <v>86</v>
      </c>
    </row>
    <row r="40" spans="1:43" s="1564" customFormat="1" ht="11.25" hidden="1" customHeight="1">
      <c r="A40" s="1293"/>
      <c r="B40" s="1293"/>
      <c r="C40" s="1293"/>
      <c r="D40" s="1293"/>
      <c r="E40" s="1293"/>
      <c r="F40" s="1293"/>
      <c r="G40" s="1293"/>
      <c r="H40" s="1293"/>
      <c r="I40" s="1293"/>
      <c r="J40" s="1293"/>
      <c r="K40" s="1293"/>
      <c r="L40" s="1287"/>
      <c r="M40" s="1285"/>
      <c r="N40" s="1285"/>
      <c r="O40" s="1285"/>
      <c r="P40" s="1169"/>
      <c r="Q40" s="1170"/>
      <c r="R40" s="1177">
        <v>1</v>
      </c>
      <c r="S40" s="1200" t="s">
        <v>100</v>
      </c>
      <c r="T40" s="1178" t="s">
        <v>103</v>
      </c>
      <c r="U40" s="1168" t="str">
        <f ca="1">OFFSET(U40,0,-1)</f>
        <v>2</v>
      </c>
      <c r="V40" s="1405">
        <f ca="1">OFFSET(V40,0,-1)+1</f>
        <v>3</v>
      </c>
      <c r="W40" s="1405">
        <f ca="1">OFFSET(W40,0,-1)+1</f>
        <v>4</v>
      </c>
      <c r="X40" s="1405">
        <f ca="1">OFFSET(X40,0,-1)+1</f>
        <v>5</v>
      </c>
      <c r="Y40" s="1405">
        <f ca="1">OFFSET(Y40,0,-1)+1</f>
        <v>6</v>
      </c>
      <c r="Z40" s="2513">
        <f ca="1">OFFSET(Z40,0,-1)+1</f>
        <v>7</v>
      </c>
      <c r="AA40" s="2513"/>
      <c r="AB40" s="1405">
        <f ca="1">OFFSET(AB40,0,-2)+1</f>
        <v>8</v>
      </c>
      <c r="AC40" s="1405">
        <f ca="1">OFFSET(AC40,0,-1)+1</f>
        <v>9</v>
      </c>
      <c r="AD40" s="1405">
        <f ca="1">OFFSET(AD40,0,-1)+1</f>
        <v>10</v>
      </c>
      <c r="AE40" s="1405">
        <f ca="1">OFFSET(AE40,0,-1)+1</f>
        <v>11</v>
      </c>
      <c r="AF40" s="1405">
        <f ca="1">OFFSET(AF40,0,-1)+1</f>
        <v>12</v>
      </c>
      <c r="AG40" s="2513">
        <f ca="1">OFFSET(AG40,0,-1)+1</f>
        <v>13</v>
      </c>
      <c r="AH40" s="2513"/>
      <c r="AI40" s="1405">
        <f ca="1">OFFSET(AI40,0,-2)+1</f>
        <v>14</v>
      </c>
      <c r="AJ40" s="1168">
        <f ca="1">OFFSET(AJ40,0,-1)</f>
        <v>14</v>
      </c>
      <c r="AK40" s="1405">
        <f ca="1">OFFSET(AK40,0,-1)+1</f>
        <v>15</v>
      </c>
      <c r="AL40" s="447"/>
      <c r="AM40" s="447"/>
      <c r="AN40" s="447"/>
      <c r="AO40" s="447"/>
      <c r="AP40" s="447"/>
      <c r="AQ40" s="432">
        <v>0</v>
      </c>
    </row>
    <row r="41" spans="1:43" ht="24" customHeight="1">
      <c r="A41" s="1286" t="s">
        <v>285</v>
      </c>
      <c r="B41" s="1286"/>
      <c r="C41" s="1286"/>
      <c r="D41" s="1286"/>
      <c r="E41" s="2506">
        <v>1</v>
      </c>
      <c r="F41" s="1286"/>
      <c r="G41" s="1286"/>
      <c r="H41" s="1286"/>
      <c r="I41" s="1286"/>
      <c r="J41" s="1286"/>
      <c r="K41" s="1286"/>
      <c r="L41" s="1287"/>
      <c r="M41" s="1288"/>
      <c r="N41" s="1288"/>
      <c r="O41" s="1288"/>
      <c r="P41" s="297"/>
      <c r="Q41" s="296"/>
      <c r="R41" s="291"/>
      <c r="S41" s="1416">
        <f>INDEX(PT_DIFFERENTIATION_NUM_NTAR,MATCH(A41,PT_DIFFERENTIATION_NTAR_ID,0))</f>
        <v>0</v>
      </c>
      <c r="T41" s="235" t="s">
        <v>144</v>
      </c>
      <c r="U41" s="237"/>
      <c r="V41" s="2492"/>
      <c r="W41" s="2493"/>
      <c r="X41" s="2493"/>
      <c r="Y41" s="2493"/>
      <c r="Z41" s="2493"/>
      <c r="AA41" s="2493"/>
      <c r="AB41" s="2494"/>
      <c r="AC41" s="2492" t="str">
        <f>INDEX(PT_DIFFERENTIATION_NTAR,MATCH(A41,PT_DIFFERENTIATION_NTAR_ID,0))</f>
        <v/>
      </c>
      <c r="AD41" s="2493"/>
      <c r="AE41" s="2493"/>
      <c r="AF41" s="2493"/>
      <c r="AG41" s="2493"/>
      <c r="AH41" s="2493"/>
      <c r="AI41" s="2493"/>
      <c r="AJ41" s="2494"/>
      <c r="AK41"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8">
        <v>23</v>
      </c>
    </row>
    <row r="42" spans="1:43" ht="24" customHeight="1">
      <c r="A42" s="1286" t="s">
        <v>285</v>
      </c>
      <c r="B42" s="1286" t="s">
        <v>286</v>
      </c>
      <c r="C42" s="1286"/>
      <c r="D42" s="1286"/>
      <c r="E42" s="2507"/>
      <c r="F42" s="2506">
        <v>1</v>
      </c>
      <c r="G42" s="1286"/>
      <c r="H42" s="1286"/>
      <c r="I42" s="1286"/>
      <c r="J42" s="1286"/>
      <c r="K42" s="1286"/>
      <c r="L42" s="1287"/>
      <c r="M42" s="1288"/>
      <c r="N42" s="1288"/>
      <c r="O42" s="1288"/>
      <c r="P42" s="1410"/>
      <c r="Q42" s="288"/>
      <c r="R42" s="289"/>
      <c r="S42" s="1416" t="str">
        <f>INDEX(PT_DIFFERENTIATION_NUM_TER,MATCH(B42,PT_DIFFERENTIATION_TER_ID,0))</f>
        <v>.</v>
      </c>
      <c r="T42" s="245" t="s">
        <v>416</v>
      </c>
      <c r="U42" s="237"/>
      <c r="V42" s="2492"/>
      <c r="W42" s="2493"/>
      <c r="X42" s="2493"/>
      <c r="Y42" s="2493"/>
      <c r="Z42" s="2493"/>
      <c r="AA42" s="2493"/>
      <c r="AB42" s="2494"/>
      <c r="AC42" s="2492" t="str">
        <f>INDEX(PT_DIFFERENTIATION_TER,MATCH(B42,PT_DIFFERENTIATION_TER_ID,0))</f>
        <v/>
      </c>
      <c r="AD42" s="2493"/>
      <c r="AE42" s="2493"/>
      <c r="AF42" s="2493"/>
      <c r="AG42" s="2493"/>
      <c r="AH42" s="2493"/>
      <c r="AI42" s="2493"/>
      <c r="AJ42" s="2494"/>
      <c r="AK42" s="1181" t="s">
        <v>417</v>
      </c>
      <c r="AM42" s="436"/>
      <c r="AN42" s="436" t="str">
        <f t="shared" si="1"/>
        <v>Территория действия тарифа</v>
      </c>
      <c r="AO42" s="436"/>
      <c r="AP42" s="436"/>
      <c r="AQ42" s="1078">
        <v>23</v>
      </c>
    </row>
    <row r="43" spans="1:43" ht="24" customHeight="1">
      <c r="A43" s="1286" t="s">
        <v>285</v>
      </c>
      <c r="B43" s="1286" t="s">
        <v>286</v>
      </c>
      <c r="C43" s="1286" t="s">
        <v>287</v>
      </c>
      <c r="D43" s="1286"/>
      <c r="E43" s="2507"/>
      <c r="F43" s="2507"/>
      <c r="G43" s="2506">
        <v>1</v>
      </c>
      <c r="H43" s="1286"/>
      <c r="I43" s="1286"/>
      <c r="J43" s="1286"/>
      <c r="K43" s="1286"/>
      <c r="L43" s="1287"/>
      <c r="M43" s="1288"/>
      <c r="N43" s="1288"/>
      <c r="O43" s="1288"/>
      <c r="P43" s="290"/>
      <c r="Q43" s="288"/>
      <c r="R43" s="289"/>
      <c r="S43" s="1416" t="str">
        <f>INDEX(PT_DIFFERENTIATION_NUM_CS,MATCH(C43,PT_DIFFERENTIATION_CS_ID,0))</f>
        <v>..</v>
      </c>
      <c r="T43" s="246" t="s">
        <v>533</v>
      </c>
      <c r="U43" s="237"/>
      <c r="V43" s="2492"/>
      <c r="W43" s="2493"/>
      <c r="X43" s="2493"/>
      <c r="Y43" s="2493"/>
      <c r="Z43" s="2493"/>
      <c r="AA43" s="2493"/>
      <c r="AB43" s="2494"/>
      <c r="AC43" s="2492" t="str">
        <f>INDEX(PT_DIFFERENTIATION_CS,MATCH(C43,PT_DIFFERENTIATION_CS_ID,0))</f>
        <v/>
      </c>
      <c r="AD43" s="2493"/>
      <c r="AE43" s="2493"/>
      <c r="AF43" s="2493"/>
      <c r="AG43" s="2493"/>
      <c r="AH43" s="2493"/>
      <c r="AI43" s="2493"/>
      <c r="AJ43" s="2494"/>
      <c r="AK43" s="1181" t="s">
        <v>534</v>
      </c>
      <c r="AM43" s="436"/>
      <c r="AN43" s="436" t="str">
        <f t="shared" si="1"/>
        <v>Наименование централизованной системы водоотведения</v>
      </c>
      <c r="AO43" s="436"/>
      <c r="AP43" s="436"/>
      <c r="AQ43" s="1078">
        <v>23</v>
      </c>
    </row>
    <row r="44" spans="1:43" ht="24" customHeight="1">
      <c r="A44" s="1286" t="s">
        <v>285</v>
      </c>
      <c r="B44" s="1286" t="s">
        <v>286</v>
      </c>
      <c r="C44" s="1286" t="s">
        <v>287</v>
      </c>
      <c r="D44" s="1286" t="s">
        <v>537</v>
      </c>
      <c r="E44" s="2507"/>
      <c r="F44" s="2507"/>
      <c r="G44" s="2507"/>
      <c r="H44" s="2507"/>
      <c r="I44" s="2504" t="str">
        <f>S43&amp;".1"</f>
        <v>...1</v>
      </c>
      <c r="J44" s="1286"/>
      <c r="K44" s="1286"/>
      <c r="L44" s="1287"/>
      <c r="P44" s="2505">
        <v>1</v>
      </c>
      <c r="Q44" s="1404"/>
      <c r="R44" s="292"/>
      <c r="S44" s="1416" t="str">
        <f>$I44</f>
        <v>...1</v>
      </c>
      <c r="T44" s="222" t="s">
        <v>500</v>
      </c>
      <c r="U44" s="237"/>
      <c r="V44" s="2576"/>
      <c r="W44" s="2577"/>
      <c r="X44" s="2577"/>
      <c r="Y44" s="2577"/>
      <c r="Z44" s="2577"/>
      <c r="AA44" s="2577"/>
      <c r="AB44" s="2578"/>
      <c r="AC44" s="2579"/>
      <c r="AD44" s="2580"/>
      <c r="AE44" s="2580"/>
      <c r="AF44" s="2580"/>
      <c r="AG44" s="2580"/>
      <c r="AH44" s="2580"/>
      <c r="AI44" s="2580"/>
      <c r="AJ44" s="2581"/>
      <c r="AK44" s="1181" t="s">
        <v>501</v>
      </c>
      <c r="AM44" s="436"/>
      <c r="AN44" s="436" t="str">
        <f t="shared" si="1"/>
        <v>Наименование признака дифференциации</v>
      </c>
      <c r="AO44" s="436"/>
      <c r="AP44" s="436"/>
      <c r="AQ44" s="1078">
        <v>23</v>
      </c>
    </row>
    <row r="45" spans="1:43" ht="24" customHeight="1">
      <c r="A45" s="1286" t="s">
        <v>285</v>
      </c>
      <c r="B45" s="1286" t="s">
        <v>286</v>
      </c>
      <c r="C45" s="1286" t="s">
        <v>287</v>
      </c>
      <c r="D45" s="1286" t="s">
        <v>537</v>
      </c>
      <c r="E45" s="2507"/>
      <c r="F45" s="2507"/>
      <c r="G45" s="2507"/>
      <c r="H45" s="2507"/>
      <c r="I45" s="2527"/>
      <c r="J45" s="2504" t="str">
        <f>I44&amp;".1"</f>
        <v>...1.1</v>
      </c>
      <c r="K45" s="1286"/>
      <c r="L45" s="1287" t="s">
        <v>425</v>
      </c>
      <c r="P45" s="2505"/>
      <c r="Q45" s="2505">
        <v>1</v>
      </c>
      <c r="R45" s="293"/>
      <c r="S45" s="1416" t="str">
        <f>$J45</f>
        <v>...1.1</v>
      </c>
      <c r="T45" s="223" t="s">
        <v>426</v>
      </c>
      <c r="U45" s="237"/>
      <c r="V45" s="2495"/>
      <c r="W45" s="2496"/>
      <c r="X45" s="2496"/>
      <c r="Y45" s="2496"/>
      <c r="Z45" s="2496"/>
      <c r="AA45" s="2496"/>
      <c r="AB45" s="2497"/>
      <c r="AC45" s="2495"/>
      <c r="AD45" s="2496"/>
      <c r="AE45" s="2496"/>
      <c r="AF45" s="2496"/>
      <c r="AG45" s="2496"/>
      <c r="AH45" s="2496"/>
      <c r="AI45" s="2496"/>
      <c r="AJ45" s="2497"/>
      <c r="AK45" s="1230" t="s">
        <v>502</v>
      </c>
      <c r="AM45" s="436"/>
      <c r="AN45" s="436" t="str">
        <f t="shared" si="1"/>
        <v>Группа потребителей</v>
      </c>
      <c r="AO45" s="436"/>
      <c r="AP45" s="436"/>
      <c r="AQ45" s="1078">
        <v>23</v>
      </c>
    </row>
    <row r="46" spans="1:43" ht="24" customHeight="1">
      <c r="A46" s="1286" t="s">
        <v>285</v>
      </c>
      <c r="B46" s="1286" t="s">
        <v>286</v>
      </c>
      <c r="C46" s="1286" t="s">
        <v>287</v>
      </c>
      <c r="D46" s="1286" t="s">
        <v>537</v>
      </c>
      <c r="E46" s="2507"/>
      <c r="F46" s="2507"/>
      <c r="G46" s="2507"/>
      <c r="H46" s="2507"/>
      <c r="I46" s="2527"/>
      <c r="J46" s="2527"/>
      <c r="K46" s="2504" t="str">
        <f>J45&amp;".1"</f>
        <v>...1.1.1</v>
      </c>
      <c r="L46" s="1287"/>
      <c r="P46" s="2505"/>
      <c r="Q46" s="2505"/>
      <c r="R46" s="293">
        <v>1</v>
      </c>
      <c r="S46" s="1416" t="str">
        <f>$K46</f>
        <v>...1.1.1</v>
      </c>
      <c r="T46" s="1360"/>
      <c r="U46" s="237"/>
      <c r="V46" s="1283"/>
      <c r="W46" s="1283"/>
      <c r="X46" s="1284"/>
      <c r="Y46" s="2511"/>
      <c r="Z46" s="2512" t="s">
        <v>63</v>
      </c>
      <c r="AA46" s="2511"/>
      <c r="AB46" s="2512" t="s">
        <v>63</v>
      </c>
      <c r="AC46" s="686"/>
      <c r="AD46" s="686"/>
      <c r="AE46" s="1180"/>
      <c r="AF46" s="2509"/>
      <c r="AG46" s="2360" t="s">
        <v>63</v>
      </c>
      <c r="AH46" s="2528"/>
      <c r="AI46" s="2360" t="s">
        <v>19</v>
      </c>
      <c r="AJ46" s="1361"/>
      <c r="AK46" s="257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8">
        <v>23</v>
      </c>
    </row>
    <row r="47" spans="1:43" ht="0" hidden="1" customHeight="1">
      <c r="A47" s="1286" t="s">
        <v>285</v>
      </c>
      <c r="B47" s="1286" t="s">
        <v>286</v>
      </c>
      <c r="C47" s="1286" t="s">
        <v>287</v>
      </c>
      <c r="D47" s="1286" t="s">
        <v>537</v>
      </c>
      <c r="E47" s="2507"/>
      <c r="F47" s="2507"/>
      <c r="G47" s="2507"/>
      <c r="H47" s="2507"/>
      <c r="I47" s="2527"/>
      <c r="J47" s="2527"/>
      <c r="K47" s="2504"/>
      <c r="L47" s="1287"/>
      <c r="P47" s="2505"/>
      <c r="Q47" s="2505"/>
      <c r="R47" s="293"/>
      <c r="S47" s="1413"/>
      <c r="T47" s="237"/>
      <c r="U47" s="237"/>
      <c r="V47" s="1283"/>
      <c r="W47" s="1283"/>
      <c r="X47" s="265" t="str">
        <f>Y46&amp;"-"&amp;AA46</f>
        <v>-</v>
      </c>
      <c r="Y47" s="2512"/>
      <c r="Z47" s="2512"/>
      <c r="AA47" s="2512"/>
      <c r="AB47" s="2512"/>
      <c r="AC47" s="262"/>
      <c r="AD47" s="262"/>
      <c r="AE47" s="265" t="str">
        <f>AF46&amp;"-"&amp;AH46</f>
        <v>-</v>
      </c>
      <c r="AF47" s="2510"/>
      <c r="AG47" s="2360"/>
      <c r="AH47" s="2529"/>
      <c r="AI47" s="2360"/>
      <c r="AJ47" s="1362"/>
      <c r="AK47" s="2575"/>
      <c r="AM47" s="436"/>
      <c r="AN47" s="436" t="str">
        <f t="shared" si="1"/>
        <v/>
      </c>
      <c r="AO47" s="436"/>
      <c r="AP47" s="436"/>
      <c r="AQ47" s="1078">
        <v>0</v>
      </c>
    </row>
    <row r="48" spans="1:43" ht="21" customHeight="1">
      <c r="A48" s="1286" t="s">
        <v>285</v>
      </c>
      <c r="B48" s="1286" t="s">
        <v>286</v>
      </c>
      <c r="C48" s="1286" t="s">
        <v>287</v>
      </c>
      <c r="D48" s="1286" t="s">
        <v>537</v>
      </c>
      <c r="E48" s="2507"/>
      <c r="F48" s="2507"/>
      <c r="G48" s="2507"/>
      <c r="H48" s="2507"/>
      <c r="I48" s="2527"/>
      <c r="J48" s="2504"/>
      <c r="K48" s="1286"/>
      <c r="L48" s="1287"/>
      <c r="P48" s="2505"/>
      <c r="Q48" s="2505"/>
      <c r="R48" s="292"/>
      <c r="S48" s="1201"/>
      <c r="T48" s="224" t="s">
        <v>503</v>
      </c>
      <c r="U48" s="303"/>
      <c r="V48" s="303"/>
      <c r="W48" s="303"/>
      <c r="X48" s="303"/>
      <c r="Y48" s="303"/>
      <c r="Z48" s="303"/>
      <c r="AA48" s="303"/>
      <c r="AB48" s="303"/>
      <c r="AC48" s="303"/>
      <c r="AD48" s="303"/>
      <c r="AE48" s="303"/>
      <c r="AF48" s="303"/>
      <c r="AG48" s="303"/>
      <c r="AH48" s="303"/>
      <c r="AI48" s="303"/>
      <c r="AJ48" s="303"/>
      <c r="AK48" s="1181" t="s">
        <v>504</v>
      </c>
      <c r="AM48" s="436"/>
      <c r="AN48" s="436" t="str">
        <f t="shared" si="1"/>
        <v>Добавить значение признака дифференциации</v>
      </c>
      <c r="AO48" s="436"/>
      <c r="AP48" s="436"/>
      <c r="AQ48" s="1078">
        <v>20</v>
      </c>
    </row>
    <row r="49" spans="1:43" ht="21.95" customHeight="1">
      <c r="A49" s="1286" t="s">
        <v>285</v>
      </c>
      <c r="B49" s="1286" t="s">
        <v>286</v>
      </c>
      <c r="C49" s="1286" t="s">
        <v>287</v>
      </c>
      <c r="D49" s="1286" t="s">
        <v>537</v>
      </c>
      <c r="E49" s="2507"/>
      <c r="F49" s="2507"/>
      <c r="G49" s="2507"/>
      <c r="H49" s="2507"/>
      <c r="I49" s="2504"/>
      <c r="J49" s="1286"/>
      <c r="K49" s="1286"/>
      <c r="L49" s="1287"/>
      <c r="P49" s="2505"/>
      <c r="Q49" s="1404"/>
      <c r="R49" s="292"/>
      <c r="S49" s="1201"/>
      <c r="T49" s="301" t="s">
        <v>431</v>
      </c>
      <c r="U49" s="303"/>
      <c r="V49" s="303"/>
      <c r="W49" s="303"/>
      <c r="X49" s="303"/>
      <c r="Y49" s="303"/>
      <c r="Z49" s="303"/>
      <c r="AA49" s="303"/>
      <c r="AB49" s="302"/>
      <c r="AC49" s="303"/>
      <c r="AD49" s="303"/>
      <c r="AE49" s="303"/>
      <c r="AF49" s="303"/>
      <c r="AG49" s="303"/>
      <c r="AH49" s="303"/>
      <c r="AI49" s="302"/>
      <c r="AJ49" s="303"/>
      <c r="AK49" s="1363"/>
      <c r="AM49" s="436"/>
      <c r="AN49" s="436" t="str">
        <f t="shared" si="1"/>
        <v>Добавить группу потребителей</v>
      </c>
      <c r="AO49" s="436"/>
      <c r="AP49" s="436"/>
      <c r="AQ49" s="1078">
        <v>21</v>
      </c>
    </row>
    <row r="50" spans="1:43" ht="21.95" customHeight="1">
      <c r="A50" s="1286" t="s">
        <v>285</v>
      </c>
      <c r="B50" s="1286" t="s">
        <v>286</v>
      </c>
      <c r="C50" s="1286" t="s">
        <v>287</v>
      </c>
      <c r="D50" s="1286" t="s">
        <v>537</v>
      </c>
      <c r="E50" s="2507"/>
      <c r="F50" s="2507"/>
      <c r="G50" s="2507"/>
      <c r="H50" s="2506"/>
      <c r="I50" s="1286"/>
      <c r="J50" s="1286"/>
      <c r="K50" s="1286"/>
      <c r="L50" s="1287"/>
      <c r="M50" s="1288"/>
      <c r="N50" s="1288"/>
      <c r="O50" s="473"/>
      <c r="P50" s="296"/>
      <c r="Q50" s="311"/>
      <c r="R50" s="291"/>
      <c r="S50" s="1201"/>
      <c r="T50" s="308" t="s">
        <v>505</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8">
        <v>21</v>
      </c>
    </row>
    <row r="51" spans="1:43" s="1565" customFormat="1" ht="0" hidden="1" customHeight="1">
      <c r="A51" s="1266" t="s">
        <v>285</v>
      </c>
      <c r="B51" s="1266" t="s">
        <v>286</v>
      </c>
      <c r="C51" s="1237"/>
      <c r="D51" s="1237"/>
      <c r="E51" s="2507"/>
      <c r="F51" s="2506"/>
      <c r="G51" s="1237"/>
      <c r="H51" s="1237"/>
      <c r="I51" s="1237"/>
      <c r="J51" s="1237"/>
      <c r="K51" s="1237"/>
      <c r="L51" s="1417"/>
      <c r="M51" s="1244"/>
      <c r="N51" s="1244"/>
      <c r="P51" s="1239"/>
      <c r="Q51" s="1240"/>
      <c r="R51" s="1239"/>
      <c r="S51" s="1245"/>
      <c r="T51" s="1248" t="s">
        <v>434</v>
      </c>
      <c r="U51" s="1247"/>
      <c r="V51" s="1247"/>
      <c r="W51" s="1247"/>
      <c r="X51" s="1247"/>
      <c r="Y51" s="1247"/>
      <c r="Z51" s="1247"/>
      <c r="AA51" s="1247"/>
      <c r="AB51" s="1247"/>
      <c r="AC51" s="1247"/>
      <c r="AD51" s="1247"/>
      <c r="AE51" s="1247"/>
      <c r="AF51" s="1247"/>
      <c r="AG51" s="1247"/>
      <c r="AH51" s="1247"/>
      <c r="AI51" s="1247"/>
      <c r="AJ51" s="1247"/>
      <c r="AK51" s="1247"/>
      <c r="AM51" s="718"/>
      <c r="AN51" s="718" t="str">
        <f t="shared" si="1"/>
        <v>Добавить централизованную систему для дифференциации</v>
      </c>
      <c r="AO51" s="718"/>
      <c r="AP51" s="718"/>
      <c r="AQ51" s="454">
        <v>0</v>
      </c>
    </row>
    <row r="52" spans="1:43" s="1565" customFormat="1" ht="0" hidden="1" customHeight="1">
      <c r="A52" s="1266" t="s">
        <v>285</v>
      </c>
      <c r="B52" s="1266"/>
      <c r="C52" s="1266"/>
      <c r="D52" s="1266"/>
      <c r="E52" s="2506"/>
      <c r="F52" s="1266"/>
      <c r="G52" s="1266"/>
      <c r="H52" s="1266"/>
      <c r="I52" s="1266"/>
      <c r="J52" s="1266"/>
      <c r="K52" s="1266"/>
      <c r="L52" s="1269"/>
      <c r="M52" s="1244"/>
      <c r="N52" s="1244"/>
      <c r="O52" s="454"/>
      <c r="P52" s="316"/>
      <c r="Q52" s="1267"/>
      <c r="R52" s="316"/>
      <c r="S52" s="1245"/>
      <c r="T52" s="1248" t="s">
        <v>435</v>
      </c>
      <c r="U52" s="1247"/>
      <c r="V52" s="1247"/>
      <c r="W52" s="1247"/>
      <c r="X52" s="1247"/>
      <c r="Y52" s="1247"/>
      <c r="Z52" s="1247"/>
      <c r="AA52" s="1247"/>
      <c r="AB52" s="1247"/>
      <c r="AC52" s="1247"/>
      <c r="AD52" s="1247"/>
      <c r="AE52" s="1247"/>
      <c r="AF52" s="1247"/>
      <c r="AG52" s="1247"/>
      <c r="AH52" s="1247"/>
      <c r="AI52" s="1247"/>
      <c r="AJ52" s="1247"/>
      <c r="AK52" s="1247"/>
      <c r="AM52" s="436"/>
      <c r="AN52" s="436" t="str">
        <f t="shared" si="1"/>
        <v>Добавить территорию для дифференциации</v>
      </c>
      <c r="AO52" s="436"/>
      <c r="AP52" s="436"/>
      <c r="AQ52" s="447">
        <v>0</v>
      </c>
    </row>
    <row r="53" spans="1:43" s="1565" customFormat="1" ht="0" hidden="1" customHeight="1">
      <c r="A53" s="1237"/>
      <c r="B53" s="1237"/>
      <c r="C53" s="1237"/>
      <c r="D53" s="1237"/>
      <c r="E53" s="1266"/>
      <c r="F53" s="1237"/>
      <c r="G53" s="1237"/>
      <c r="H53" s="1237"/>
      <c r="I53" s="1237"/>
      <c r="J53" s="1237"/>
      <c r="K53" s="1237"/>
      <c r="L53" s="1417"/>
      <c r="M53" s="1244"/>
      <c r="N53" s="1244"/>
      <c r="P53" s="1239"/>
      <c r="Q53" s="1240"/>
      <c r="R53" s="1239"/>
      <c r="S53" s="1245"/>
      <c r="T53" s="1248" t="s">
        <v>463</v>
      </c>
      <c r="U53" s="1247"/>
      <c r="V53" s="1247"/>
      <c r="W53" s="1247"/>
      <c r="X53" s="1247"/>
      <c r="Y53" s="1247"/>
      <c r="Z53" s="1247"/>
      <c r="AA53" s="1247"/>
      <c r="AB53" s="1247"/>
      <c r="AC53" s="1247"/>
      <c r="AD53" s="1247"/>
      <c r="AE53" s="1247"/>
      <c r="AF53" s="1247"/>
      <c r="AG53" s="1247"/>
      <c r="AH53" s="1247"/>
      <c r="AI53" s="1247"/>
      <c r="AJ53" s="1247"/>
      <c r="AK53" s="1247"/>
      <c r="AM53" s="718"/>
      <c r="AN53" s="718" t="str">
        <f t="shared" si="1"/>
        <v>Добавить наименование тарифа</v>
      </c>
      <c r="AO53" s="718"/>
      <c r="AP53" s="718"/>
      <c r="AQ53" s="454">
        <v>0</v>
      </c>
    </row>
    <row r="54" spans="1:43" ht="11.45" customHeight="1">
      <c r="M54" s="1083"/>
      <c r="N54" s="1083"/>
      <c r="O54" s="473"/>
      <c r="P54" s="1078"/>
      <c r="Q54" s="1078"/>
      <c r="R54" s="1078"/>
      <c r="S54" s="1078"/>
      <c r="AL54" s="1078"/>
      <c r="AM54" s="1078"/>
      <c r="AN54" s="1078"/>
      <c r="AO54" s="1078"/>
      <c r="AP54" s="1078"/>
      <c r="AQ54" s="1078">
        <v>11</v>
      </c>
    </row>
    <row r="55" spans="1:43" ht="14.65" customHeight="1">
      <c r="O55" s="473"/>
      <c r="S55" s="1176"/>
      <c r="T55" s="2526"/>
      <c r="U55" s="2526"/>
      <c r="V55" s="2526"/>
      <c r="W55" s="2526"/>
      <c r="X55" s="2526"/>
      <c r="Y55" s="2526"/>
      <c r="Z55" s="2526"/>
      <c r="AA55" s="2526"/>
      <c r="AB55" s="2526"/>
      <c r="AC55" s="2526"/>
      <c r="AD55" s="2526"/>
      <c r="AE55" s="2526"/>
      <c r="AF55" s="2526"/>
      <c r="AG55" s="2526"/>
      <c r="AH55" s="2526"/>
      <c r="AI55" s="2526"/>
      <c r="AJ55" s="2526"/>
      <c r="AK55" s="2526"/>
      <c r="AQ55" s="1078">
        <v>14</v>
      </c>
    </row>
    <row r="56" spans="1:43" ht="14.65" customHeight="1">
      <c r="O56" s="473"/>
      <c r="AQ56" s="1078">
        <v>14</v>
      </c>
    </row>
    <row r="57" spans="1:43" ht="14.65" customHeight="1">
      <c r="O57" s="473"/>
      <c r="S57" s="1176"/>
      <c r="T57" s="2526"/>
      <c r="U57" s="2526"/>
      <c r="V57" s="2526"/>
      <c r="W57" s="2526"/>
      <c r="X57" s="2526"/>
      <c r="Y57" s="2526"/>
      <c r="Z57" s="2526"/>
      <c r="AA57" s="2526"/>
      <c r="AB57" s="2526"/>
      <c r="AC57" s="2526"/>
      <c r="AD57" s="2526"/>
      <c r="AE57" s="2526"/>
      <c r="AF57" s="2526"/>
      <c r="AG57" s="2526"/>
      <c r="AH57" s="2526"/>
      <c r="AI57" s="2526"/>
      <c r="AJ57" s="2526"/>
      <c r="AK57" s="2526"/>
      <c r="AQ57" s="1078">
        <v>14</v>
      </c>
    </row>
    <row r="58" spans="1:43" ht="22.5" hidden="1" customHeight="1">
      <c r="A58" s="1083" t="s">
        <v>83</v>
      </c>
      <c r="B58" s="1083">
        <v>0</v>
      </c>
      <c r="C58" s="1083">
        <v>0</v>
      </c>
      <c r="D58" s="1083">
        <v>0</v>
      </c>
      <c r="E58" s="1083">
        <v>0</v>
      </c>
      <c r="F58" s="1083">
        <v>0</v>
      </c>
      <c r="G58" s="1083">
        <v>0</v>
      </c>
      <c r="H58" s="1083">
        <v>0</v>
      </c>
      <c r="I58" s="1083">
        <v>0</v>
      </c>
      <c r="J58" s="1083">
        <v>0</v>
      </c>
      <c r="K58" s="1083">
        <v>0</v>
      </c>
      <c r="L58" s="1401">
        <v>0</v>
      </c>
      <c r="M58" s="1285">
        <v>0</v>
      </c>
      <c r="N58" s="1285">
        <v>0</v>
      </c>
      <c r="O58" s="1285">
        <v>0</v>
      </c>
      <c r="P58" s="1396">
        <v>3</v>
      </c>
      <c r="Q58" s="281">
        <v>3</v>
      </c>
      <c r="R58" s="281">
        <v>3</v>
      </c>
      <c r="S58" s="517">
        <v>12</v>
      </c>
      <c r="T58" s="1078">
        <v>35</v>
      </c>
      <c r="U58" s="1078">
        <v>0</v>
      </c>
      <c r="V58" s="1078">
        <v>0</v>
      </c>
      <c r="W58" s="1078">
        <v>0</v>
      </c>
      <c r="X58" s="1078">
        <v>0</v>
      </c>
      <c r="Y58" s="1078">
        <v>0</v>
      </c>
      <c r="Z58" s="1078">
        <v>0</v>
      </c>
      <c r="AA58" s="1078">
        <v>0</v>
      </c>
      <c r="AB58" s="1078">
        <v>0</v>
      </c>
      <c r="AC58" s="1078">
        <v>24</v>
      </c>
      <c r="AD58" s="1078">
        <v>24</v>
      </c>
      <c r="AE58" s="1078">
        <v>24</v>
      </c>
      <c r="AF58" s="1078">
        <v>11</v>
      </c>
      <c r="AG58" s="1078">
        <v>3</v>
      </c>
      <c r="AH58" s="1078">
        <v>11</v>
      </c>
      <c r="AI58" s="1078">
        <v>0</v>
      </c>
      <c r="AJ58" s="1078">
        <v>4</v>
      </c>
      <c r="AK58" s="1078">
        <v>115</v>
      </c>
      <c r="AL58" s="447">
        <v>10</v>
      </c>
      <c r="AM58" s="447">
        <v>10</v>
      </c>
      <c r="AN58" s="447">
        <v>10</v>
      </c>
      <c r="AO58" s="447">
        <v>10</v>
      </c>
      <c r="AP58" s="447">
        <v>10</v>
      </c>
      <c r="AQ58" s="1078">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4.140625" style="1289" hidden="1" customWidth="1"/>
    <col min="10" max="10" width="9.85546875" style="1289" hidden="1" customWidth="1"/>
    <col min="11" max="11" width="14.7109375" style="1289" hidden="1" customWidth="1"/>
    <col min="12" max="12" width="19.140625" style="2043" hidden="1" customWidth="1"/>
    <col min="13" max="14" width="12.28515625" style="1696" hidden="1" customWidth="1"/>
    <col min="15" max="15" width="23.42578125" style="1696" hidden="1" customWidth="1"/>
    <col min="16" max="16" width="3" style="2032" customWidth="1"/>
    <col min="17" max="18" width="3" style="281" customWidth="1"/>
    <col min="19" max="19" width="12" style="2033" customWidth="1"/>
    <col min="20" max="20" width="35" style="1558" customWidth="1"/>
    <col min="21" max="21" width="0.140625" style="1558" customWidth="1"/>
    <col min="22" max="24" width="24.7109375" style="1558" hidden="1" customWidth="1"/>
    <col min="25" max="25" width="11.7109375" style="1558" hidden="1" customWidth="1"/>
    <col min="26" max="26" width="3.7109375" style="1558" hidden="1" customWidth="1"/>
    <col min="27" max="27" width="11.7109375" style="1558" hidden="1" customWidth="1"/>
    <col min="28" max="28" width="8.5703125" style="1558" hidden="1" customWidth="1"/>
    <col min="29" max="29" width="24.7109375" style="1558" customWidth="1"/>
    <col min="30" max="31" width="24" style="1558" customWidth="1"/>
    <col min="32" max="32" width="11" style="1558" customWidth="1"/>
    <col min="33" max="33" width="3.7109375" style="1558" customWidth="1"/>
    <col min="34" max="34" width="11" style="1558" customWidth="1"/>
    <col min="35" max="35" width="8.5703125" style="1558" hidden="1" customWidth="1"/>
    <col min="36" max="36" width="4" style="1558" customWidth="1"/>
    <col min="37" max="37" width="115" style="1558" customWidth="1"/>
    <col min="38" max="42" width="10" style="1565" customWidth="1"/>
    <col min="43" max="43" width="10.5703125" style="1558" hidden="1"/>
  </cols>
  <sheetData>
    <row r="1" spans="1:43" ht="22.5" hidden="1" customHeight="1">
      <c r="X1" s="264"/>
      <c r="Y1" s="264"/>
      <c r="AE1" s="264"/>
      <c r="AF1" s="264"/>
      <c r="AQ1" s="1078" t="s">
        <v>14</v>
      </c>
    </row>
    <row r="2" spans="1:43" ht="23.25" hidden="1" customHeight="1">
      <c r="A2" s="1286"/>
      <c r="B2" s="1286"/>
      <c r="C2" s="1286"/>
      <c r="D2" s="1286"/>
      <c r="E2" s="2506">
        <v>1</v>
      </c>
      <c r="F2" s="1286"/>
      <c r="G2" s="1286"/>
      <c r="H2" s="1286"/>
      <c r="I2" s="1286"/>
      <c r="J2" s="1286"/>
      <c r="K2" s="1286"/>
      <c r="L2" s="1287"/>
      <c r="M2" s="1288"/>
      <c r="N2" s="1288"/>
      <c r="O2" s="1288"/>
      <c r="P2" s="297"/>
      <c r="Q2" s="296"/>
      <c r="R2" s="291"/>
      <c r="S2" s="1416" t="e">
        <f>INDEX(PT_DIFFERENTIATION_NUM_NTAR,MATCH(A2,PT_DIFFERENTIATION_NTAR_ID,0))</f>
        <v>#N/A</v>
      </c>
      <c r="T2" s="235" t="s">
        <v>144</v>
      </c>
      <c r="U2" s="237"/>
      <c r="V2" s="2492"/>
      <c r="W2" s="2493"/>
      <c r="X2" s="2493"/>
      <c r="Y2" s="2493"/>
      <c r="Z2" s="2493"/>
      <c r="AA2" s="2493"/>
      <c r="AB2" s="2494"/>
      <c r="AC2" s="2492" t="e">
        <f>INDEX(PT_DIFFERENTIATION_NTAR,MATCH(A2,PT_DIFFERENTIATION_NTAR_ID,0))</f>
        <v>#N/A</v>
      </c>
      <c r="AD2" s="2493"/>
      <c r="AE2" s="2493"/>
      <c r="AF2" s="2493"/>
      <c r="AG2" s="2493"/>
      <c r="AH2" s="2493"/>
      <c r="AI2" s="2493"/>
      <c r="AJ2" s="2494"/>
      <c r="AK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8">
        <v>0</v>
      </c>
    </row>
    <row r="3" spans="1:43" ht="23.25" hidden="1" customHeight="1">
      <c r="A3" s="1286"/>
      <c r="B3" s="1286"/>
      <c r="C3" s="1286"/>
      <c r="D3" s="1286"/>
      <c r="E3" s="2507"/>
      <c r="F3" s="2506">
        <v>1</v>
      </c>
      <c r="G3" s="1286"/>
      <c r="H3" s="1286"/>
      <c r="I3" s="1286"/>
      <c r="J3" s="1286"/>
      <c r="K3" s="1286"/>
      <c r="L3" s="1287"/>
      <c r="M3" s="1288"/>
      <c r="N3" s="1288"/>
      <c r="O3" s="1288"/>
      <c r="P3" s="1410"/>
      <c r="Q3" s="288"/>
      <c r="R3" s="289"/>
      <c r="S3" s="1416" t="e">
        <f>INDEX(PT_DIFFERENTIATION_NUM_TER,MATCH(B3,PT_DIFFERENTIATION_TER_ID,0))</f>
        <v>#N/A</v>
      </c>
      <c r="T3" s="245" t="s">
        <v>416</v>
      </c>
      <c r="U3" s="237"/>
      <c r="V3" s="2492"/>
      <c r="W3" s="2493"/>
      <c r="X3" s="2493"/>
      <c r="Y3" s="2493"/>
      <c r="Z3" s="2493"/>
      <c r="AA3" s="2493"/>
      <c r="AB3" s="2494"/>
      <c r="AC3" s="2492" t="e">
        <f>INDEX(PT_DIFFERENTIATION_TER,MATCH(B3,PT_DIFFERENTIATION_TER_ID,0))</f>
        <v>#N/A</v>
      </c>
      <c r="AD3" s="2493"/>
      <c r="AE3" s="2493"/>
      <c r="AF3" s="2493"/>
      <c r="AG3" s="2493"/>
      <c r="AH3" s="2493"/>
      <c r="AI3" s="2493"/>
      <c r="AJ3" s="2494"/>
      <c r="AK3" s="1181" t="s">
        <v>417</v>
      </c>
      <c r="AM3" s="436"/>
      <c r="AN3" s="436" t="str">
        <f t="shared" si="0"/>
        <v>Территория действия тарифа</v>
      </c>
      <c r="AO3" s="436"/>
      <c r="AP3" s="436"/>
      <c r="AQ3" s="1078">
        <v>0</v>
      </c>
    </row>
    <row r="4" spans="1:43" ht="23.25" hidden="1" customHeight="1">
      <c r="A4" s="1286"/>
      <c r="B4" s="1286"/>
      <c r="C4" s="1286"/>
      <c r="D4" s="1286"/>
      <c r="E4" s="2507"/>
      <c r="F4" s="2507"/>
      <c r="G4" s="2506">
        <v>1</v>
      </c>
      <c r="H4" s="1286"/>
      <c r="I4" s="1286"/>
      <c r="J4" s="1286"/>
      <c r="K4" s="1286"/>
      <c r="L4" s="1287"/>
      <c r="M4" s="1288"/>
      <c r="N4" s="1288"/>
      <c r="O4" s="1288"/>
      <c r="P4" s="290"/>
      <c r="Q4" s="288"/>
      <c r="R4" s="289"/>
      <c r="S4" s="1416" t="e">
        <f>INDEX(PT_DIFFERENTIATION_NUM_CS,MATCH(C4,PT_DIFFERENTIATION_CS_ID,0))</f>
        <v>#N/A</v>
      </c>
      <c r="T4" s="246" t="s">
        <v>533</v>
      </c>
      <c r="U4" s="237"/>
      <c r="V4" s="2492"/>
      <c r="W4" s="2493"/>
      <c r="X4" s="2493"/>
      <c r="Y4" s="2493"/>
      <c r="Z4" s="2493"/>
      <c r="AA4" s="2493"/>
      <c r="AB4" s="2494"/>
      <c r="AC4" s="2492" t="e">
        <f>INDEX(PT_DIFFERENTIATION_CS,MATCH(C4,PT_DIFFERENTIATION_CS_ID,0))</f>
        <v>#N/A</v>
      </c>
      <c r="AD4" s="2493"/>
      <c r="AE4" s="2493"/>
      <c r="AF4" s="2493"/>
      <c r="AG4" s="2493"/>
      <c r="AH4" s="2493"/>
      <c r="AI4" s="2493"/>
      <c r="AJ4" s="2494"/>
      <c r="AK4" s="1181" t="s">
        <v>534</v>
      </c>
      <c r="AM4" s="436"/>
      <c r="AN4" s="436" t="str">
        <f t="shared" si="0"/>
        <v>Наименование централизованной системы водоотведения</v>
      </c>
      <c r="AO4" s="436"/>
      <c r="AP4" s="436"/>
      <c r="AQ4" s="1078">
        <v>0</v>
      </c>
    </row>
    <row r="5" spans="1:43" ht="23.25" hidden="1" customHeight="1">
      <c r="A5" s="1286"/>
      <c r="B5" s="1286"/>
      <c r="C5" s="1286"/>
      <c r="D5" s="1286"/>
      <c r="E5" s="2507"/>
      <c r="F5" s="2507"/>
      <c r="G5" s="2507"/>
      <c r="H5" s="2507"/>
      <c r="I5" s="2504" t="e">
        <f>S4&amp;".1"</f>
        <v>#N/A</v>
      </c>
      <c r="J5" s="1286"/>
      <c r="K5" s="1286"/>
      <c r="L5" s="1287"/>
      <c r="P5" s="2505">
        <v>1</v>
      </c>
      <c r="Q5" s="1404"/>
      <c r="R5" s="292"/>
      <c r="S5" s="1416" t="e">
        <f>$I5</f>
        <v>#N/A</v>
      </c>
      <c r="T5" s="222" t="s">
        <v>500</v>
      </c>
      <c r="U5" s="237"/>
      <c r="V5" s="2576"/>
      <c r="W5" s="2577"/>
      <c r="X5" s="2577"/>
      <c r="Y5" s="2577"/>
      <c r="Z5" s="2577"/>
      <c r="AA5" s="2577"/>
      <c r="AB5" s="2578"/>
      <c r="AC5" s="2579"/>
      <c r="AD5" s="2580"/>
      <c r="AE5" s="2580"/>
      <c r="AF5" s="2580"/>
      <c r="AG5" s="2580"/>
      <c r="AH5" s="2580"/>
      <c r="AI5" s="2580"/>
      <c r="AJ5" s="2581"/>
      <c r="AK5" s="1181" t="s">
        <v>501</v>
      </c>
      <c r="AM5" s="436"/>
      <c r="AN5" s="436" t="str">
        <f t="shared" si="0"/>
        <v>Наименование признака дифференциации</v>
      </c>
      <c r="AO5" s="436"/>
      <c r="AP5" s="436"/>
      <c r="AQ5" s="1078">
        <v>0</v>
      </c>
    </row>
    <row r="6" spans="1:43" ht="23.25" hidden="1" customHeight="1">
      <c r="A6" s="1286"/>
      <c r="B6" s="1286"/>
      <c r="C6" s="1286"/>
      <c r="D6" s="1286"/>
      <c r="E6" s="2507"/>
      <c r="F6" s="2507"/>
      <c r="G6" s="2507"/>
      <c r="H6" s="2507"/>
      <c r="I6" s="2527"/>
      <c r="J6" s="2504" t="e">
        <f>I5&amp;".1"</f>
        <v>#N/A</v>
      </c>
      <c r="K6" s="1286"/>
      <c r="L6" s="1287" t="s">
        <v>425</v>
      </c>
      <c r="P6" s="2505"/>
      <c r="Q6" s="2505">
        <v>1</v>
      </c>
      <c r="R6" s="293"/>
      <c r="S6" s="1416" t="e">
        <f>$J6</f>
        <v>#N/A</v>
      </c>
      <c r="T6" s="223" t="s">
        <v>426</v>
      </c>
      <c r="U6" s="237"/>
      <c r="V6" s="2495"/>
      <c r="W6" s="2496"/>
      <c r="X6" s="2496"/>
      <c r="Y6" s="2496"/>
      <c r="Z6" s="2496"/>
      <c r="AA6" s="2496"/>
      <c r="AB6" s="2497"/>
      <c r="AC6" s="2495"/>
      <c r="AD6" s="2496"/>
      <c r="AE6" s="2496"/>
      <c r="AF6" s="2496"/>
      <c r="AG6" s="2496"/>
      <c r="AH6" s="2496"/>
      <c r="AI6" s="2496"/>
      <c r="AJ6" s="2497"/>
      <c r="AK6" s="1230" t="s">
        <v>502</v>
      </c>
      <c r="AM6" s="436"/>
      <c r="AN6" s="436" t="str">
        <f t="shared" si="0"/>
        <v>Группа потребителей</v>
      </c>
      <c r="AO6" s="436"/>
      <c r="AP6" s="436"/>
      <c r="AQ6" s="1078">
        <v>0</v>
      </c>
    </row>
    <row r="7" spans="1:43" ht="23.25" hidden="1" customHeight="1">
      <c r="A7" s="1286"/>
      <c r="B7" s="1286"/>
      <c r="C7" s="1286"/>
      <c r="D7" s="1286"/>
      <c r="E7" s="2507"/>
      <c r="F7" s="2507"/>
      <c r="G7" s="2507"/>
      <c r="H7" s="2507"/>
      <c r="I7" s="2527"/>
      <c r="J7" s="2527"/>
      <c r="K7" s="2504" t="e">
        <f>J6&amp;".1"</f>
        <v>#N/A</v>
      </c>
      <c r="L7" s="1287"/>
      <c r="P7" s="2505"/>
      <c r="Q7" s="2505"/>
      <c r="R7" s="293">
        <v>1</v>
      </c>
      <c r="S7" s="1416" t="e">
        <f>$K7</f>
        <v>#N/A</v>
      </c>
      <c r="T7" s="1360"/>
      <c r="U7" s="237"/>
      <c r="V7" s="686"/>
      <c r="W7" s="686"/>
      <c r="X7" s="1180"/>
      <c r="Y7" s="2509"/>
      <c r="Z7" s="2360" t="s">
        <v>63</v>
      </c>
      <c r="AA7" s="2509"/>
      <c r="AB7" s="2360" t="s">
        <v>63</v>
      </c>
      <c r="AC7" s="686"/>
      <c r="AD7" s="686"/>
      <c r="AE7" s="1180"/>
      <c r="AF7" s="2509"/>
      <c r="AG7" s="2360" t="s">
        <v>63</v>
      </c>
      <c r="AH7" s="2528"/>
      <c r="AI7" s="2360" t="s">
        <v>63</v>
      </c>
      <c r="AJ7" s="1361"/>
      <c r="AK7" s="257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8">
        <v>0</v>
      </c>
    </row>
    <row r="8" spans="1:43" ht="14.25" hidden="1" customHeight="1">
      <c r="A8" s="1286"/>
      <c r="B8" s="1286"/>
      <c r="C8" s="1286"/>
      <c r="D8" s="1286"/>
      <c r="E8" s="2507"/>
      <c r="F8" s="2507"/>
      <c r="G8" s="2507"/>
      <c r="H8" s="2507"/>
      <c r="I8" s="2527"/>
      <c r="J8" s="2527"/>
      <c r="K8" s="2504"/>
      <c r="L8" s="1287"/>
      <c r="P8" s="2505"/>
      <c r="Q8" s="2505"/>
      <c r="R8" s="293"/>
      <c r="S8" s="1413"/>
      <c r="T8" s="237"/>
      <c r="U8" s="237"/>
      <c r="V8" s="262"/>
      <c r="W8" s="262"/>
      <c r="X8" s="265" t="str">
        <f>Y7&amp;"-"&amp;AA7</f>
        <v>-</v>
      </c>
      <c r="Y8" s="2510"/>
      <c r="Z8" s="2360"/>
      <c r="AA8" s="2510"/>
      <c r="AB8" s="2360"/>
      <c r="AC8" s="262"/>
      <c r="AD8" s="262"/>
      <c r="AE8" s="265" t="str">
        <f>AF7&amp;"-"&amp;AH7</f>
        <v>-</v>
      </c>
      <c r="AF8" s="2510"/>
      <c r="AG8" s="2360"/>
      <c r="AH8" s="2529"/>
      <c r="AI8" s="2360"/>
      <c r="AJ8" s="1362"/>
      <c r="AK8" s="2575"/>
      <c r="AM8" s="436"/>
      <c r="AN8" s="436" t="str">
        <f t="shared" si="0"/>
        <v/>
      </c>
      <c r="AO8" s="436"/>
      <c r="AP8" s="436"/>
      <c r="AQ8" s="1078">
        <v>0</v>
      </c>
    </row>
    <row r="9" spans="1:43" ht="21" hidden="1" customHeight="1">
      <c r="A9" s="1286"/>
      <c r="B9" s="1286"/>
      <c r="C9" s="1286"/>
      <c r="D9" s="1286"/>
      <c r="E9" s="2507"/>
      <c r="F9" s="2507"/>
      <c r="G9" s="2507"/>
      <c r="H9" s="2507"/>
      <c r="I9" s="2527"/>
      <c r="J9" s="2504"/>
      <c r="K9" s="1286"/>
      <c r="L9" s="1287"/>
      <c r="P9" s="2505"/>
      <c r="Q9" s="2505"/>
      <c r="R9" s="292"/>
      <c r="S9" s="1201"/>
      <c r="T9" s="224" t="s">
        <v>503</v>
      </c>
      <c r="U9" s="303"/>
      <c r="V9" s="303"/>
      <c r="W9" s="303"/>
      <c r="X9" s="303"/>
      <c r="Y9" s="303"/>
      <c r="Z9" s="303"/>
      <c r="AA9" s="303"/>
      <c r="AB9" s="303"/>
      <c r="AC9" s="303"/>
      <c r="AD9" s="303"/>
      <c r="AE9" s="303"/>
      <c r="AF9" s="303"/>
      <c r="AG9" s="303"/>
      <c r="AH9" s="303"/>
      <c r="AI9" s="303"/>
      <c r="AJ9" s="303"/>
      <c r="AK9" s="1181" t="s">
        <v>504</v>
      </c>
      <c r="AM9" s="436"/>
      <c r="AN9" s="436" t="str">
        <f t="shared" si="0"/>
        <v>Добавить значение признака дифференциации</v>
      </c>
      <c r="AO9" s="436"/>
      <c r="AP9" s="436"/>
      <c r="AQ9" s="1078">
        <v>0</v>
      </c>
    </row>
    <row r="10" spans="1:43" ht="21" hidden="1" customHeight="1">
      <c r="A10" s="1286"/>
      <c r="B10" s="1286"/>
      <c r="C10" s="1286"/>
      <c r="D10" s="1286"/>
      <c r="E10" s="2507"/>
      <c r="F10" s="2507"/>
      <c r="G10" s="2507"/>
      <c r="H10" s="2507"/>
      <c r="I10" s="2504"/>
      <c r="J10" s="1286"/>
      <c r="K10" s="1286"/>
      <c r="L10" s="1287"/>
      <c r="P10" s="2505"/>
      <c r="Q10" s="1404"/>
      <c r="R10" s="292"/>
      <c r="S10" s="1201"/>
      <c r="T10" s="301" t="s">
        <v>431</v>
      </c>
      <c r="U10" s="303"/>
      <c r="V10" s="303"/>
      <c r="W10" s="303"/>
      <c r="X10" s="303"/>
      <c r="Y10" s="303"/>
      <c r="Z10" s="303"/>
      <c r="AA10" s="303"/>
      <c r="AB10" s="302"/>
      <c r="AC10" s="303"/>
      <c r="AD10" s="303"/>
      <c r="AE10" s="303"/>
      <c r="AF10" s="303"/>
      <c r="AG10" s="303"/>
      <c r="AH10" s="303"/>
      <c r="AI10" s="302"/>
      <c r="AJ10" s="303"/>
      <c r="AK10" s="1363"/>
      <c r="AM10" s="436"/>
      <c r="AN10" s="436" t="str">
        <f t="shared" si="0"/>
        <v>Добавить группу потребителей</v>
      </c>
      <c r="AO10" s="436"/>
      <c r="AP10" s="436"/>
      <c r="AQ10" s="1078">
        <v>0</v>
      </c>
    </row>
    <row r="11" spans="1:43" ht="21" hidden="1" customHeight="1">
      <c r="A11" s="1286"/>
      <c r="B11" s="1286"/>
      <c r="C11" s="1286"/>
      <c r="D11" s="1286"/>
      <c r="E11" s="2507"/>
      <c r="F11" s="2507"/>
      <c r="G11" s="2507"/>
      <c r="H11" s="2506"/>
      <c r="I11" s="1286"/>
      <c r="J11" s="1286"/>
      <c r="K11" s="1286"/>
      <c r="L11" s="1287"/>
      <c r="M11" s="1288"/>
      <c r="N11" s="1288"/>
      <c r="O11" s="473"/>
      <c r="P11" s="296"/>
      <c r="Q11" s="311"/>
      <c r="R11" s="291"/>
      <c r="S11" s="1201"/>
      <c r="T11" s="308" t="s">
        <v>505</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8">
        <v>0</v>
      </c>
    </row>
    <row r="12" spans="1:43" s="1565" customFormat="1" ht="14.25" hidden="1" customHeight="1">
      <c r="A12" s="1266"/>
      <c r="B12" s="1266"/>
      <c r="C12" s="1237"/>
      <c r="D12" s="1237"/>
      <c r="E12" s="2507"/>
      <c r="F12" s="2506"/>
      <c r="G12" s="1237"/>
      <c r="H12" s="1237"/>
      <c r="I12" s="1237"/>
      <c r="J12" s="1237"/>
      <c r="K12" s="1237"/>
      <c r="L12" s="1417"/>
      <c r="M12" s="1244"/>
      <c r="N12" s="1244"/>
      <c r="P12" s="1239"/>
      <c r="Q12" s="1240"/>
      <c r="R12" s="1239"/>
      <c r="S12" s="1245"/>
      <c r="T12" s="1248" t="s">
        <v>434</v>
      </c>
      <c r="U12" s="1247"/>
      <c r="V12" s="1247"/>
      <c r="W12" s="1247"/>
      <c r="X12" s="1247"/>
      <c r="Y12" s="1247"/>
      <c r="Z12" s="1247"/>
      <c r="AA12" s="1247"/>
      <c r="AB12" s="1247"/>
      <c r="AC12" s="1247"/>
      <c r="AD12" s="1247"/>
      <c r="AE12" s="1247"/>
      <c r="AF12" s="1247"/>
      <c r="AG12" s="1247"/>
      <c r="AH12" s="1247"/>
      <c r="AI12" s="1247"/>
      <c r="AJ12" s="1247"/>
      <c r="AK12" s="1247"/>
      <c r="AM12" s="718"/>
      <c r="AN12" s="718" t="str">
        <f t="shared" si="0"/>
        <v>Добавить централизованную систему для дифференциации</v>
      </c>
      <c r="AO12" s="718"/>
      <c r="AP12" s="718"/>
      <c r="AQ12" s="454">
        <v>0</v>
      </c>
    </row>
    <row r="13" spans="1:43" s="1565" customFormat="1" ht="14.25" hidden="1" customHeight="1">
      <c r="A13" s="1266"/>
      <c r="B13" s="1266"/>
      <c r="C13" s="1266"/>
      <c r="D13" s="1266"/>
      <c r="E13" s="2506"/>
      <c r="F13" s="1266"/>
      <c r="G13" s="1266"/>
      <c r="H13" s="1266"/>
      <c r="I13" s="1266"/>
      <c r="J13" s="1266"/>
      <c r="K13" s="1266"/>
      <c r="L13" s="1269"/>
      <c r="M13" s="1244"/>
      <c r="N13" s="1244"/>
      <c r="O13" s="454"/>
      <c r="P13" s="316"/>
      <c r="Q13" s="1267"/>
      <c r="R13" s="316"/>
      <c r="S13" s="1245"/>
      <c r="T13" s="1248" t="s">
        <v>435</v>
      </c>
      <c r="U13" s="1247"/>
      <c r="V13" s="1247"/>
      <c r="W13" s="1247"/>
      <c r="X13" s="1247"/>
      <c r="Y13" s="1247"/>
      <c r="Z13" s="1247"/>
      <c r="AA13" s="1247"/>
      <c r="AB13" s="1247"/>
      <c r="AC13" s="1247"/>
      <c r="AD13" s="1247"/>
      <c r="AE13" s="1247"/>
      <c r="AF13" s="1247"/>
      <c r="AG13" s="1247"/>
      <c r="AH13" s="1247"/>
      <c r="AI13" s="1247"/>
      <c r="AJ13" s="1247"/>
      <c r="AK13" s="1247"/>
      <c r="AM13" s="436"/>
      <c r="AN13" s="436" t="str">
        <f t="shared" si="0"/>
        <v>Добавить территорию для дифференциации</v>
      </c>
      <c r="AO13" s="436"/>
      <c r="AP13" s="436"/>
      <c r="AQ13" s="447">
        <v>0</v>
      </c>
    </row>
    <row r="14" spans="1:43" ht="14.25" hidden="1" customHeight="1">
      <c r="AB14" s="264"/>
      <c r="AI14" s="264"/>
      <c r="AQ14" s="1078">
        <v>0</v>
      </c>
    </row>
    <row r="15" spans="1:43" ht="14.25" hidden="1" customHeight="1">
      <c r="AC15" s="1283"/>
      <c r="AD15" s="1283"/>
      <c r="AE15" s="1284"/>
      <c r="AF15" s="2511"/>
      <c r="AG15" s="2512" t="s">
        <v>63</v>
      </c>
      <c r="AH15" s="2511"/>
      <c r="AI15" s="2512" t="s">
        <v>63</v>
      </c>
      <c r="AQ15" s="1078">
        <v>0</v>
      </c>
    </row>
    <row r="16" spans="1:43" ht="14.25" hidden="1" customHeight="1">
      <c r="AC16" s="1283"/>
      <c r="AD16" s="1283"/>
      <c r="AE16" s="265" t="str">
        <f>AF15&amp;"-"&amp;AH15</f>
        <v>-</v>
      </c>
      <c r="AF16" s="2512"/>
      <c r="AG16" s="2512"/>
      <c r="AH16" s="2512"/>
      <c r="AI16" s="2512"/>
      <c r="AQ16" s="1078">
        <v>0</v>
      </c>
    </row>
    <row r="17" spans="1:43" ht="14.25" hidden="1" customHeight="1">
      <c r="AI17" s="264"/>
      <c r="AQ17" s="1078">
        <v>0</v>
      </c>
    </row>
    <row r="18" spans="1:43" s="1289" customFormat="1" ht="22.5" hidden="1" customHeight="1">
      <c r="L18" s="1401"/>
      <c r="M18" s="1285"/>
      <c r="N18" s="1285"/>
      <c r="O18" s="1290" t="s">
        <v>436</v>
      </c>
      <c r="P18" s="1285"/>
      <c r="Q18" s="1294"/>
      <c r="R18" s="1294"/>
      <c r="S18" s="665"/>
      <c r="Y18" s="1290"/>
      <c r="AA18" s="1290"/>
      <c r="AF18" s="1290"/>
      <c r="AH18" s="1290"/>
      <c r="AL18" s="447"/>
      <c r="AM18" s="447"/>
      <c r="AN18" s="447"/>
      <c r="AO18" s="447"/>
      <c r="AP18" s="447"/>
      <c r="AQ18" s="1083">
        <v>0</v>
      </c>
    </row>
    <row r="19" spans="1:43" s="1289" customFormat="1" ht="14.25" hidden="1" customHeight="1">
      <c r="L19" s="1401"/>
      <c r="M19" s="1285"/>
      <c r="N19" s="1285"/>
      <c r="O19" s="1285"/>
      <c r="P19" s="1285"/>
      <c r="Q19" s="1294"/>
      <c r="R19" s="1294"/>
      <c r="S19" s="665"/>
      <c r="AL19" s="447"/>
      <c r="AM19" s="447"/>
      <c r="AN19" s="447"/>
      <c r="AO19" s="447"/>
      <c r="AP19" s="447"/>
      <c r="AQ19" s="1083">
        <v>0</v>
      </c>
    </row>
    <row r="20" spans="1:43" s="1289" customFormat="1" ht="12" hidden="1" customHeight="1">
      <c r="L20" s="1401"/>
      <c r="M20" s="1285"/>
      <c r="N20" s="1285"/>
      <c r="O20" s="1287" t="s">
        <v>437</v>
      </c>
      <c r="P20" s="1285"/>
      <c r="Q20" s="1365"/>
      <c r="R20" s="1365"/>
      <c r="S20" s="665"/>
      <c r="T20" s="1083" t="s">
        <v>438</v>
      </c>
      <c r="Z20" s="123" t="s">
        <v>439</v>
      </c>
      <c r="AB20" s="123" t="s">
        <v>440</v>
      </c>
      <c r="AC20" s="1083" t="s">
        <v>438</v>
      </c>
      <c r="AG20" s="123" t="s">
        <v>441</v>
      </c>
      <c r="AI20" s="123" t="s">
        <v>440</v>
      </c>
      <c r="AQ20" s="1083">
        <v>0</v>
      </c>
    </row>
    <row r="21" spans="1:43" ht="14.25" hidden="1" customHeight="1">
      <c r="O21" s="1287"/>
      <c r="AQ21" s="1078">
        <v>0</v>
      </c>
    </row>
    <row r="22" spans="1:43" ht="14.25" hidden="1" customHeight="1">
      <c r="O22" s="1287"/>
      <c r="AQ22" s="1078">
        <v>0</v>
      </c>
    </row>
    <row r="23" spans="1:43" ht="14.65" customHeight="1">
      <c r="Q23" s="312"/>
      <c r="R23" s="312"/>
      <c r="S23" s="1198"/>
      <c r="T23" s="299"/>
      <c r="U23" s="299"/>
      <c r="V23" s="445"/>
      <c r="W23" s="445"/>
      <c r="X23" s="445"/>
      <c r="Y23" s="445"/>
      <c r="Z23" s="445"/>
      <c r="AA23" s="445"/>
      <c r="AB23" s="445"/>
      <c r="AC23" s="445"/>
      <c r="AD23" s="445"/>
      <c r="AE23" s="445"/>
      <c r="AF23" s="445"/>
      <c r="AG23" s="445"/>
      <c r="AH23" s="445"/>
      <c r="AI23" s="445"/>
      <c r="AQ23" s="1078">
        <v>14</v>
      </c>
    </row>
    <row r="24" spans="1:43" ht="14.65" customHeight="1">
      <c r="Q24" s="312"/>
      <c r="R24" s="312"/>
      <c r="S24" s="249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490"/>
      <c r="U24" s="2490"/>
      <c r="V24" s="2490"/>
      <c r="W24" s="2490"/>
      <c r="X24" s="2490"/>
      <c r="Y24" s="2490"/>
      <c r="Z24" s="2490"/>
      <c r="AA24" s="2490"/>
      <c r="AB24" s="2490"/>
      <c r="AC24" s="2490"/>
      <c r="AD24" s="2490"/>
      <c r="AE24" s="2490"/>
      <c r="AF24" s="2490"/>
      <c r="AG24" s="2490"/>
      <c r="AH24" s="2490"/>
      <c r="AI24" s="1166"/>
      <c r="AQ24" s="1078">
        <v>14</v>
      </c>
    </row>
    <row r="25" spans="1:43" ht="14.65" customHeight="1">
      <c r="Q25" s="312"/>
      <c r="R25" s="312"/>
      <c r="S25" s="2436" t="str">
        <f>IF(org=0,"Не определено",org)</f>
        <v>ПАО "ТГК-2"</v>
      </c>
      <c r="T25" s="2436"/>
      <c r="U25" s="2436"/>
      <c r="V25" s="2436"/>
      <c r="W25" s="2436"/>
      <c r="X25" s="2436"/>
      <c r="Y25" s="2436"/>
      <c r="Z25" s="2436"/>
      <c r="AA25" s="2436"/>
      <c r="AB25" s="2436"/>
      <c r="AC25" s="2436"/>
      <c r="AD25" s="2436"/>
      <c r="AE25" s="2436"/>
      <c r="AF25" s="2436"/>
      <c r="AG25" s="2436"/>
      <c r="AH25" s="2436"/>
      <c r="AI25" s="1166"/>
      <c r="AQ25" s="1078">
        <v>14</v>
      </c>
    </row>
    <row r="26" spans="1:43" ht="14.25" hidden="1" customHeight="1">
      <c r="Q26" s="312"/>
      <c r="R26" s="312"/>
      <c r="S26" s="1198"/>
      <c r="T26" s="299"/>
      <c r="U26" s="299"/>
      <c r="V26" s="259"/>
      <c r="W26" s="259"/>
      <c r="X26" s="259"/>
      <c r="Y26" s="259"/>
      <c r="Z26" s="259"/>
      <c r="AA26" s="259"/>
      <c r="AB26" s="259"/>
      <c r="AC26" s="259"/>
      <c r="AD26" s="259"/>
      <c r="AE26" s="259"/>
      <c r="AF26" s="259"/>
      <c r="AG26" s="259"/>
      <c r="AH26" s="259"/>
      <c r="AI26" s="259"/>
      <c r="AJ26" s="445"/>
      <c r="AQ26" s="1078">
        <v>0</v>
      </c>
    </row>
    <row r="27" spans="1:43" s="1770" customFormat="1" ht="25.5" hidden="1" customHeight="1">
      <c r="A27" s="1291"/>
      <c r="B27" s="1291"/>
      <c r="C27" s="1291"/>
      <c r="D27" s="1291"/>
      <c r="E27" s="1291"/>
      <c r="F27" s="1291"/>
      <c r="G27" s="1291"/>
      <c r="H27" s="1291"/>
      <c r="I27" s="1291"/>
      <c r="J27" s="1291"/>
      <c r="K27" s="1291"/>
      <c r="L27" s="1292"/>
      <c r="M27" s="1291"/>
      <c r="N27" s="1291"/>
      <c r="O27" s="1291"/>
      <c r="S27" s="249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498"/>
      <c r="U27" s="1295"/>
      <c r="V27" s="2499" t="str">
        <f>IF(TITLE_NAME_OR_PR_CHANGE="",IF(TITLE_NAME_OR_PR="","",TITLE_NAME_OR_PR),TITLE_NAME_OR_PR_CHANGE)</f>
        <v/>
      </c>
      <c r="W27" s="2499"/>
      <c r="X27" s="2499"/>
      <c r="Y27" s="2499"/>
      <c r="Z27" s="2499"/>
      <c r="AA27" s="2499"/>
      <c r="AB27" s="263"/>
      <c r="AC27" s="2499" t="str">
        <f>IF(TITLE_NAME_OR_PR_CHANGE="",IF(TITLE_NAME_OR_PR="","",TITLE_NAME_OR_PR),TITLE_NAME_OR_PR_CHANGE)</f>
        <v/>
      </c>
      <c r="AD27" s="2499"/>
      <c r="AE27" s="2499"/>
      <c r="AF27" s="2499"/>
      <c r="AG27" s="2499"/>
      <c r="AH27" s="2499"/>
      <c r="AI27" s="263"/>
      <c r="AJ27" s="263"/>
      <c r="AK27" s="217"/>
      <c r="AL27" s="304"/>
      <c r="AM27" s="304"/>
      <c r="AN27" s="304"/>
      <c r="AO27" s="304"/>
      <c r="AP27" s="304"/>
      <c r="AQ27" s="354">
        <v>0</v>
      </c>
    </row>
    <row r="28" spans="1:43" s="1770" customFormat="1" ht="18.75" hidden="1" customHeight="1">
      <c r="A28" s="1291"/>
      <c r="B28" s="1291"/>
      <c r="C28" s="1291"/>
      <c r="D28" s="1291"/>
      <c r="E28" s="1291"/>
      <c r="F28" s="1291"/>
      <c r="G28" s="1291"/>
      <c r="H28" s="1291"/>
      <c r="I28" s="1291"/>
      <c r="J28" s="1291"/>
      <c r="K28" s="1291"/>
      <c r="L28" s="1292"/>
      <c r="M28" s="1291"/>
      <c r="N28" s="1291"/>
      <c r="O28" s="1291"/>
      <c r="S28" s="2498" t="str">
        <f>"Дата документа об "&amp;IF(TITLE_DATE_PR_CHANGE="","утверждении","изменении")&amp;" тарифов"</f>
        <v>Дата документа об утверждении тарифов</v>
      </c>
      <c r="T28" s="2498"/>
      <c r="U28" s="1295"/>
      <c r="V28" s="2508" t="str">
        <f>IF(TITLE_DATE_PR_CHANGE="",IF(TITLE_DATE_PR="","",TITLE_DATE_PR),TITLE_DATE_PR_CHANGE)</f>
        <v/>
      </c>
      <c r="W28" s="2508"/>
      <c r="X28" s="2508"/>
      <c r="Y28" s="2508"/>
      <c r="Z28" s="2508"/>
      <c r="AA28" s="2508"/>
      <c r="AB28" s="263"/>
      <c r="AC28" s="2508" t="str">
        <f>IF(TITLE_DATE_PR_CHANGE="",IF(TITLE_DATE_PR="","",TITLE_DATE_PR),TITLE_DATE_PR_CHANGE)</f>
        <v/>
      </c>
      <c r="AD28" s="2508"/>
      <c r="AE28" s="2508"/>
      <c r="AF28" s="2508"/>
      <c r="AG28" s="2508"/>
      <c r="AH28" s="2508"/>
      <c r="AI28" s="263"/>
      <c r="AJ28" s="263"/>
      <c r="AK28" s="217"/>
      <c r="AL28" s="304"/>
      <c r="AM28" s="304"/>
      <c r="AN28" s="304"/>
      <c r="AO28" s="304"/>
      <c r="AP28" s="304"/>
      <c r="AQ28" s="354">
        <v>0</v>
      </c>
    </row>
    <row r="29" spans="1:43" s="1770" customFormat="1" ht="18.75" hidden="1" customHeight="1">
      <c r="A29" s="1291"/>
      <c r="B29" s="1291"/>
      <c r="C29" s="1291"/>
      <c r="D29" s="1291"/>
      <c r="E29" s="1291"/>
      <c r="F29" s="1291"/>
      <c r="G29" s="1291"/>
      <c r="H29" s="1291"/>
      <c r="I29" s="1291"/>
      <c r="J29" s="1291"/>
      <c r="K29" s="1291"/>
      <c r="L29" s="1292"/>
      <c r="M29" s="1291"/>
      <c r="N29" s="1291"/>
      <c r="O29" s="1291"/>
      <c r="S29" s="2498" t="str">
        <f>"Номер документа об "&amp;IF(TITLE_DATE_PR_CHANGE="","утверждении","изменении")&amp;" тарифов"</f>
        <v>Номер документа об утверждении тарифов</v>
      </c>
      <c r="T29" s="2498"/>
      <c r="U29" s="1295"/>
      <c r="V29" s="2499" t="str">
        <f>IF(TITLE_NUMBER_PR_CHANGE="",IF(TITLE_NUMBER_PR="","",TITLE_NUMBER_PR),TITLE_NUMBER_PR_CHANGE)</f>
        <v/>
      </c>
      <c r="W29" s="2499"/>
      <c r="X29" s="2499"/>
      <c r="Y29" s="2499"/>
      <c r="Z29" s="2499"/>
      <c r="AA29" s="2499"/>
      <c r="AB29" s="263"/>
      <c r="AC29" s="2499" t="str">
        <f>IF(TITLE_NUMBER_PR_CHANGE="",IF(TITLE_NUMBER_PR="","",TITLE_NUMBER_PR),TITLE_NUMBER_PR_CHANGE)</f>
        <v/>
      </c>
      <c r="AD29" s="2499"/>
      <c r="AE29" s="2499"/>
      <c r="AF29" s="2499"/>
      <c r="AG29" s="2499"/>
      <c r="AH29" s="2499"/>
      <c r="AI29" s="263"/>
      <c r="AJ29" s="263"/>
      <c r="AK29" s="217"/>
      <c r="AL29" s="304"/>
      <c r="AM29" s="304"/>
      <c r="AN29" s="304"/>
      <c r="AO29" s="304"/>
      <c r="AP29" s="304"/>
      <c r="AQ29" s="354">
        <v>0</v>
      </c>
    </row>
    <row r="30" spans="1:43" s="1770" customFormat="1" ht="18.75" hidden="1" customHeight="1">
      <c r="A30" s="1291"/>
      <c r="B30" s="1291"/>
      <c r="C30" s="1291"/>
      <c r="D30" s="1291"/>
      <c r="E30" s="1291"/>
      <c r="F30" s="1291"/>
      <c r="G30" s="1291"/>
      <c r="H30" s="1291"/>
      <c r="I30" s="1291"/>
      <c r="J30" s="1291"/>
      <c r="K30" s="1291"/>
      <c r="L30" s="1292"/>
      <c r="M30" s="1291"/>
      <c r="N30" s="1291"/>
      <c r="O30" s="1291"/>
      <c r="S30" s="2498" t="s">
        <v>43</v>
      </c>
      <c r="T30" s="2498"/>
      <c r="U30" s="1295"/>
      <c r="V30" s="2499" t="str">
        <f>IF(TITLE_IST_PUB_CHANGE="",IF(TITLE_IST_PUB="","",TITLE_IST_PUB),TITLE_IST_PUB_CHANGE)</f>
        <v/>
      </c>
      <c r="W30" s="2499"/>
      <c r="X30" s="2499"/>
      <c r="Y30" s="2499"/>
      <c r="Z30" s="2499"/>
      <c r="AA30" s="2499"/>
      <c r="AB30" s="263"/>
      <c r="AC30" s="2499" t="str">
        <f>IF(TITLE_IST_PUB_CHANGE="",IF(TITLE_IST_PUB="","",TITLE_IST_PUB),TITLE_IST_PUB_CHANGE)</f>
        <v/>
      </c>
      <c r="AD30" s="2499"/>
      <c r="AE30" s="2499"/>
      <c r="AF30" s="2499"/>
      <c r="AG30" s="2499"/>
      <c r="AH30" s="2499"/>
      <c r="AI30" s="263"/>
      <c r="AJ30" s="263"/>
      <c r="AK30" s="217"/>
      <c r="AL30" s="304"/>
      <c r="AM30" s="304"/>
      <c r="AN30" s="304"/>
      <c r="AO30" s="304"/>
      <c r="AP30" s="304"/>
      <c r="AQ30" s="354">
        <v>0</v>
      </c>
    </row>
    <row r="31" spans="1:43" ht="14.25" hidden="1" customHeight="1">
      <c r="Q31" s="312"/>
      <c r="R31" s="312"/>
      <c r="S31" s="1198"/>
      <c r="T31" s="393"/>
      <c r="U31" s="299"/>
      <c r="V31" s="259"/>
      <c r="W31" s="259"/>
      <c r="X31" s="259"/>
      <c r="Y31" s="259"/>
      <c r="Z31" s="259"/>
      <c r="AA31" s="259"/>
      <c r="AB31" s="259"/>
      <c r="AC31" s="259"/>
      <c r="AD31" s="259"/>
      <c r="AE31" s="259"/>
      <c r="AF31" s="259"/>
      <c r="AG31" s="259"/>
      <c r="AH31" s="259"/>
      <c r="AI31" s="259"/>
      <c r="AJ31" s="445"/>
      <c r="AQ31" s="1078">
        <v>0</v>
      </c>
    </row>
    <row r="32" spans="1:43" s="1770" customFormat="1" ht="18.75" hidden="1" customHeight="1">
      <c r="A32" s="1291"/>
      <c r="B32" s="1291"/>
      <c r="C32" s="1291"/>
      <c r="D32" s="1291"/>
      <c r="E32" s="1291"/>
      <c r="F32" s="1291"/>
      <c r="G32" s="1291"/>
      <c r="H32" s="1291"/>
      <c r="I32" s="1291"/>
      <c r="J32" s="1291"/>
      <c r="K32" s="1291"/>
      <c r="L32" s="1292"/>
      <c r="M32" s="1291"/>
      <c r="N32" s="1291"/>
      <c r="O32" s="1291"/>
      <c r="S32" s="2498" t="str">
        <f>"Дата подачи заявления об "&amp;IF(TITLE_DATE_PR_CHANGE="","утверждении","изменении")&amp;" тарифов"</f>
        <v>Дата подачи заявления об утверждении тарифов</v>
      </c>
      <c r="T32" s="2498"/>
      <c r="U32" s="1295"/>
      <c r="V32" s="2508" t="str">
        <f>IF(TITLE_DATE_PR_CHANGE="",IF(TITLE_DATE_PR="","",TITLE_DATE_PR),TITLE_DATE_PR_CHANGE)</f>
        <v/>
      </c>
      <c r="W32" s="2508"/>
      <c r="X32" s="2508"/>
      <c r="Y32" s="2508"/>
      <c r="Z32" s="2508"/>
      <c r="AA32" s="2508"/>
      <c r="AB32" s="263"/>
      <c r="AC32" s="2508" t="str">
        <f>IF(TITLE_DATE_PR_CHANGE="",IF(TITLE_DATE_PR="","",TITLE_DATE_PR),TITLE_DATE_PR_CHANGE)</f>
        <v/>
      </c>
      <c r="AD32" s="2508"/>
      <c r="AE32" s="2508"/>
      <c r="AF32" s="2508"/>
      <c r="AG32" s="2508"/>
      <c r="AH32" s="2508"/>
      <c r="AI32" s="263"/>
      <c r="AJ32" s="263"/>
      <c r="AK32" s="217"/>
      <c r="AL32" s="304"/>
      <c r="AM32" s="304"/>
      <c r="AN32" s="304"/>
      <c r="AO32" s="304"/>
      <c r="AP32" s="304"/>
      <c r="AQ32" s="354">
        <v>0</v>
      </c>
    </row>
    <row r="33" spans="1:43" s="1770" customFormat="1" ht="18.75" hidden="1" customHeight="1">
      <c r="A33" s="1291"/>
      <c r="B33" s="1291"/>
      <c r="C33" s="1291"/>
      <c r="D33" s="1291"/>
      <c r="E33" s="1291"/>
      <c r="F33" s="1291"/>
      <c r="G33" s="1291"/>
      <c r="H33" s="1291"/>
      <c r="I33" s="1291"/>
      <c r="J33" s="1291"/>
      <c r="K33" s="1291"/>
      <c r="L33" s="1292"/>
      <c r="M33" s="1291"/>
      <c r="N33" s="1291"/>
      <c r="O33" s="1291"/>
      <c r="S33" s="2498" t="str">
        <f>"Номер подачи заявления об "&amp;IF(TITLE_DATE_PR_CHANGE="","утверждении","изменении")&amp;" тарифов"</f>
        <v>Номер подачи заявления об утверждении тарифов</v>
      </c>
      <c r="T33" s="2498"/>
      <c r="U33" s="1295"/>
      <c r="V33" s="2499" t="str">
        <f>IF(TITLE_NUMBER_PR_CHANGE="",IF(TITLE_NUMBER_PR="","",TITLE_NUMBER_PR),TITLE_NUMBER_PR_CHANGE)</f>
        <v/>
      </c>
      <c r="W33" s="2499"/>
      <c r="X33" s="2499"/>
      <c r="Y33" s="2499"/>
      <c r="Z33" s="2499"/>
      <c r="AA33" s="2499"/>
      <c r="AB33" s="263"/>
      <c r="AC33" s="2499" t="str">
        <f>IF(TITLE_NUMBER_PR_CHANGE="",IF(TITLE_NUMBER_PR="","",TITLE_NUMBER_PR),TITLE_NUMBER_PR_CHANGE)</f>
        <v/>
      </c>
      <c r="AD33" s="2499"/>
      <c r="AE33" s="2499"/>
      <c r="AF33" s="2499"/>
      <c r="AG33" s="2499"/>
      <c r="AH33" s="2499"/>
      <c r="AI33" s="263"/>
      <c r="AJ33" s="263"/>
      <c r="AK33" s="217"/>
      <c r="AL33" s="304"/>
      <c r="AM33" s="304"/>
      <c r="AN33" s="304"/>
      <c r="AO33" s="304"/>
      <c r="AP33" s="304"/>
      <c r="AQ33" s="354">
        <v>0</v>
      </c>
    </row>
    <row r="34" spans="1:43" s="1770" customFormat="1" ht="1.1499999999999999" customHeight="1">
      <c r="A34" s="1291"/>
      <c r="B34" s="1291"/>
      <c r="C34" s="1291"/>
      <c r="D34" s="1291"/>
      <c r="E34" s="1291"/>
      <c r="F34" s="1291"/>
      <c r="G34" s="1291"/>
      <c r="H34" s="1291"/>
      <c r="I34" s="1291"/>
      <c r="J34" s="1291"/>
      <c r="K34" s="1291"/>
      <c r="L34" s="1292"/>
      <c r="M34" s="1291"/>
      <c r="N34" s="1291"/>
      <c r="O34" s="1291"/>
      <c r="S34" s="260"/>
      <c r="T34" s="260"/>
      <c r="U34" s="1411"/>
      <c r="V34" s="263"/>
      <c r="W34" s="263"/>
      <c r="X34" s="263"/>
      <c r="Y34" s="263"/>
      <c r="Z34" s="263"/>
      <c r="AA34" s="263"/>
      <c r="AB34" s="215" t="s">
        <v>442</v>
      </c>
      <c r="AC34" s="263"/>
      <c r="AD34" s="263"/>
      <c r="AE34" s="263"/>
      <c r="AF34" s="263"/>
      <c r="AG34" s="263"/>
      <c r="AH34" s="263"/>
      <c r="AI34" s="215" t="s">
        <v>442</v>
      </c>
      <c r="AL34" s="304"/>
      <c r="AM34" s="304"/>
      <c r="AN34" s="304"/>
      <c r="AO34" s="304"/>
      <c r="AP34" s="304"/>
      <c r="AQ34" s="354">
        <v>1</v>
      </c>
    </row>
    <row r="35" spans="1:43" ht="14.65" customHeight="1">
      <c r="Q35" s="312"/>
      <c r="R35" s="312"/>
      <c r="S35" s="1198"/>
      <c r="T35" s="299"/>
      <c r="U35" s="1167"/>
      <c r="V35" s="2500"/>
      <c r="W35" s="2500"/>
      <c r="X35" s="2500"/>
      <c r="Y35" s="2500"/>
      <c r="Z35" s="2500"/>
      <c r="AA35" s="2500"/>
      <c r="AB35" s="2500"/>
      <c r="AC35" s="2500"/>
      <c r="AD35" s="2500"/>
      <c r="AE35" s="2500"/>
      <c r="AF35" s="2500"/>
      <c r="AG35" s="2500"/>
      <c r="AH35" s="2500"/>
      <c r="AI35" s="2500"/>
      <c r="AQ35" s="1078">
        <v>14</v>
      </c>
    </row>
    <row r="36" spans="1:43" ht="14.65" customHeight="1">
      <c r="Q36" s="312"/>
      <c r="R36" s="312"/>
      <c r="S36" s="2371" t="s">
        <v>319</v>
      </c>
      <c r="T36" s="2371"/>
      <c r="U36" s="2371"/>
      <c r="V36" s="2371"/>
      <c r="W36" s="2371"/>
      <c r="X36" s="2371"/>
      <c r="Y36" s="2371"/>
      <c r="Z36" s="2371"/>
      <c r="AA36" s="2371"/>
      <c r="AB36" s="2371"/>
      <c r="AC36" s="2371"/>
      <c r="AD36" s="2371"/>
      <c r="AE36" s="2371"/>
      <c r="AF36" s="2371"/>
      <c r="AG36" s="2371"/>
      <c r="AH36" s="2371"/>
      <c r="AI36" s="2371"/>
      <c r="AJ36" s="2371"/>
      <c r="AK36" s="2371" t="s">
        <v>320</v>
      </c>
      <c r="AQ36" s="1078">
        <v>14</v>
      </c>
    </row>
    <row r="37" spans="1:43" ht="14.65" customHeight="1">
      <c r="Q37" s="312"/>
      <c r="R37" s="312"/>
      <c r="S37" s="2514" t="s">
        <v>89</v>
      </c>
      <c r="T37" s="2466" t="s">
        <v>443</v>
      </c>
      <c r="U37" s="238"/>
      <c r="V37" s="2515" t="s">
        <v>444</v>
      </c>
      <c r="W37" s="2516"/>
      <c r="X37" s="2516"/>
      <c r="Y37" s="2516"/>
      <c r="Z37" s="2516"/>
      <c r="AA37" s="2517"/>
      <c r="AB37" s="2518" t="s">
        <v>445</v>
      </c>
      <c r="AC37" s="2515" t="s">
        <v>444</v>
      </c>
      <c r="AD37" s="2516"/>
      <c r="AE37" s="2516"/>
      <c r="AF37" s="2516"/>
      <c r="AG37" s="2516"/>
      <c r="AH37" s="2517"/>
      <c r="AI37" s="2518" t="s">
        <v>446</v>
      </c>
      <c r="AJ37" s="2521" t="s">
        <v>447</v>
      </c>
      <c r="AK37" s="2371"/>
      <c r="AQ37" s="1078">
        <v>14</v>
      </c>
    </row>
    <row r="38" spans="1:43" ht="35.65" customHeight="1">
      <c r="Q38" s="312"/>
      <c r="R38" s="312"/>
      <c r="S38" s="2514"/>
      <c r="T38" s="2466"/>
      <c r="U38" s="958"/>
      <c r="V38" s="1406" t="s">
        <v>506</v>
      </c>
      <c r="W38" s="2350" t="s">
        <v>450</v>
      </c>
      <c r="X38" s="2349"/>
      <c r="Y38" s="2350" t="s">
        <v>451</v>
      </c>
      <c r="Z38" s="2356"/>
      <c r="AA38" s="2349"/>
      <c r="AB38" s="2519"/>
      <c r="AC38" s="1406" t="s">
        <v>506</v>
      </c>
      <c r="AD38" s="2350" t="s">
        <v>450</v>
      </c>
      <c r="AE38" s="2349"/>
      <c r="AF38" s="2350" t="s">
        <v>451</v>
      </c>
      <c r="AG38" s="2356"/>
      <c r="AH38" s="2349"/>
      <c r="AI38" s="2519"/>
      <c r="AJ38" s="2522"/>
      <c r="AK38" s="2371"/>
      <c r="AQ38" s="1078">
        <v>34</v>
      </c>
    </row>
    <row r="39" spans="1:43" ht="90.4" customHeight="1">
      <c r="A39" s="1293"/>
      <c r="B39" s="1293" t="s">
        <v>156</v>
      </c>
      <c r="C39" s="1293" t="s">
        <v>157</v>
      </c>
      <c r="D39" s="1293" t="s">
        <v>158</v>
      </c>
      <c r="E39" s="1287" t="s">
        <v>452</v>
      </c>
      <c r="F39" s="1287" t="s">
        <v>453</v>
      </c>
      <c r="G39" s="1287" t="s">
        <v>454</v>
      </c>
      <c r="H39" s="1287"/>
      <c r="I39" s="1287" t="s">
        <v>507</v>
      </c>
      <c r="J39" s="1287" t="s">
        <v>457</v>
      </c>
      <c r="K39" s="1287" t="s">
        <v>508</v>
      </c>
      <c r="L39" s="1287" t="s">
        <v>437</v>
      </c>
      <c r="Q39" s="312"/>
      <c r="R39" s="312"/>
      <c r="S39" s="2514"/>
      <c r="T39" s="2466"/>
      <c r="U39" s="239"/>
      <c r="V39" s="1406" t="s">
        <v>535</v>
      </c>
      <c r="W39" s="1145" t="s">
        <v>536</v>
      </c>
      <c r="X39" s="1145" t="s">
        <v>511</v>
      </c>
      <c r="Y39" s="1412" t="s">
        <v>461</v>
      </c>
      <c r="Z39" s="2474" t="s">
        <v>462</v>
      </c>
      <c r="AA39" s="2476"/>
      <c r="AB39" s="2520"/>
      <c r="AC39" s="1406" t="s">
        <v>535</v>
      </c>
      <c r="AD39" s="1145" t="s">
        <v>536</v>
      </c>
      <c r="AE39" s="1145" t="s">
        <v>511</v>
      </c>
      <c r="AF39" s="1412" t="s">
        <v>461</v>
      </c>
      <c r="AG39" s="2474" t="s">
        <v>462</v>
      </c>
      <c r="AH39" s="2476"/>
      <c r="AI39" s="2520"/>
      <c r="AJ39" s="2523"/>
      <c r="AK39" s="2371"/>
      <c r="AQ39" s="1078">
        <v>86</v>
      </c>
    </row>
    <row r="40" spans="1:43" s="1564" customFormat="1" ht="0" hidden="1" customHeight="1">
      <c r="A40" s="1293"/>
      <c r="B40" s="1293"/>
      <c r="C40" s="1293"/>
      <c r="D40" s="1293"/>
      <c r="E40" s="1293"/>
      <c r="F40" s="1293"/>
      <c r="G40" s="1293"/>
      <c r="H40" s="1293"/>
      <c r="I40" s="1293"/>
      <c r="J40" s="1293"/>
      <c r="K40" s="1293"/>
      <c r="L40" s="1287"/>
      <c r="M40" s="1285"/>
      <c r="N40" s="1285"/>
      <c r="O40" s="1285"/>
      <c r="P40" s="1169"/>
      <c r="Q40" s="1170"/>
      <c r="R40" s="1177">
        <v>1</v>
      </c>
      <c r="S40" s="1200" t="s">
        <v>100</v>
      </c>
      <c r="T40" s="1178" t="s">
        <v>103</v>
      </c>
      <c r="U40" s="1168" t="str">
        <f ca="1">OFFSET(U40,0,-1)</f>
        <v>2</v>
      </c>
      <c r="V40" s="1405">
        <f ca="1">OFFSET(V40,0,-1)+1</f>
        <v>3</v>
      </c>
      <c r="W40" s="1405">
        <f ca="1">OFFSET(W40,0,-1)+1</f>
        <v>4</v>
      </c>
      <c r="X40" s="1405">
        <f ca="1">OFFSET(X40,0,-1)+1</f>
        <v>5</v>
      </c>
      <c r="Y40" s="1405">
        <f ca="1">OFFSET(Y40,0,-1)+1</f>
        <v>6</v>
      </c>
      <c r="Z40" s="2513">
        <f ca="1">OFFSET(Z40,0,-1)+1</f>
        <v>7</v>
      </c>
      <c r="AA40" s="2513"/>
      <c r="AB40" s="1405">
        <f ca="1">OFFSET(AB40,0,-2)+1</f>
        <v>8</v>
      </c>
      <c r="AC40" s="1405">
        <f ca="1">OFFSET(AC40,0,-1)+1</f>
        <v>9</v>
      </c>
      <c r="AD40" s="1405">
        <f ca="1">OFFSET(AD40,0,-1)+1</f>
        <v>10</v>
      </c>
      <c r="AE40" s="1405">
        <f ca="1">OFFSET(AE40,0,-1)+1</f>
        <v>11</v>
      </c>
      <c r="AF40" s="1405">
        <f ca="1">OFFSET(AF40,0,-1)+1</f>
        <v>12</v>
      </c>
      <c r="AG40" s="2513">
        <f ca="1">OFFSET(AG40,0,-1)+1</f>
        <v>13</v>
      </c>
      <c r="AH40" s="2513"/>
      <c r="AI40" s="1405">
        <f ca="1">OFFSET(AI40,0,-2)+1</f>
        <v>14</v>
      </c>
      <c r="AJ40" s="1168">
        <f ca="1">OFFSET(AJ40,0,-1)</f>
        <v>14</v>
      </c>
      <c r="AK40" s="1405">
        <f ca="1">OFFSET(AK40,0,-1)+1</f>
        <v>15</v>
      </c>
      <c r="AL40" s="447"/>
      <c r="AM40" s="447"/>
      <c r="AN40" s="447"/>
      <c r="AO40" s="447"/>
      <c r="AP40" s="447"/>
      <c r="AQ40" s="432">
        <v>0</v>
      </c>
    </row>
    <row r="41" spans="1:43" ht="24" customHeight="1">
      <c r="A41" s="1286" t="s">
        <v>290</v>
      </c>
      <c r="B41" s="1286"/>
      <c r="C41" s="1286"/>
      <c r="D41" s="1286"/>
      <c r="E41" s="2506">
        <v>1</v>
      </c>
      <c r="F41" s="1286"/>
      <c r="G41" s="1286"/>
      <c r="H41" s="1286"/>
      <c r="I41" s="1286"/>
      <c r="J41" s="1286"/>
      <c r="K41" s="1286"/>
      <c r="L41" s="1287"/>
      <c r="M41" s="1288"/>
      <c r="N41" s="1288"/>
      <c r="O41" s="1288"/>
      <c r="P41" s="297"/>
      <c r="Q41" s="296"/>
      <c r="R41" s="291"/>
      <c r="S41" s="1416">
        <f>INDEX(PT_DIFFERENTIATION_NUM_NTAR,MATCH(A41,PT_DIFFERENTIATION_NTAR_ID,0))</f>
        <v>0</v>
      </c>
      <c r="T41" s="235" t="s">
        <v>144</v>
      </c>
      <c r="U41" s="237"/>
      <c r="V41" s="2492"/>
      <c r="W41" s="2493"/>
      <c r="X41" s="2493"/>
      <c r="Y41" s="2493"/>
      <c r="Z41" s="2493"/>
      <c r="AA41" s="2493"/>
      <c r="AB41" s="2494"/>
      <c r="AC41" s="2492" t="str">
        <f>INDEX(PT_DIFFERENTIATION_NTAR,MATCH(A41,PT_DIFFERENTIATION_NTAR_ID,0))</f>
        <v/>
      </c>
      <c r="AD41" s="2493"/>
      <c r="AE41" s="2493"/>
      <c r="AF41" s="2493"/>
      <c r="AG41" s="2493"/>
      <c r="AH41" s="2493"/>
      <c r="AI41" s="2493"/>
      <c r="AJ41" s="2494"/>
      <c r="AK41"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8">
        <v>23</v>
      </c>
    </row>
    <row r="42" spans="1:43" ht="24" customHeight="1">
      <c r="A42" s="1286" t="s">
        <v>290</v>
      </c>
      <c r="B42" s="1286" t="s">
        <v>291</v>
      </c>
      <c r="C42" s="1286"/>
      <c r="D42" s="1286"/>
      <c r="E42" s="2507"/>
      <c r="F42" s="2506">
        <v>1</v>
      </c>
      <c r="G42" s="1286"/>
      <c r="H42" s="1286"/>
      <c r="I42" s="1286"/>
      <c r="J42" s="1286"/>
      <c r="K42" s="1286"/>
      <c r="L42" s="1287"/>
      <c r="M42" s="1288"/>
      <c r="N42" s="1288"/>
      <c r="O42" s="1288"/>
      <c r="P42" s="1410"/>
      <c r="Q42" s="288"/>
      <c r="R42" s="289"/>
      <c r="S42" s="1416" t="str">
        <f>INDEX(PT_DIFFERENTIATION_NUM_TER,MATCH(B42,PT_DIFFERENTIATION_TER_ID,0))</f>
        <v>.</v>
      </c>
      <c r="T42" s="245" t="s">
        <v>416</v>
      </c>
      <c r="U42" s="237"/>
      <c r="V42" s="2492"/>
      <c r="W42" s="2493"/>
      <c r="X42" s="2493"/>
      <c r="Y42" s="2493"/>
      <c r="Z42" s="2493"/>
      <c r="AA42" s="2493"/>
      <c r="AB42" s="2494"/>
      <c r="AC42" s="2492" t="str">
        <f>INDEX(PT_DIFFERENTIATION_TER,MATCH(B42,PT_DIFFERENTIATION_TER_ID,0))</f>
        <v/>
      </c>
      <c r="AD42" s="2493"/>
      <c r="AE42" s="2493"/>
      <c r="AF42" s="2493"/>
      <c r="AG42" s="2493"/>
      <c r="AH42" s="2493"/>
      <c r="AI42" s="2493"/>
      <c r="AJ42" s="2494"/>
      <c r="AK42" s="1181" t="s">
        <v>417</v>
      </c>
      <c r="AM42" s="436"/>
      <c r="AN42" s="436" t="str">
        <f t="shared" si="1"/>
        <v>Территория действия тарифа</v>
      </c>
      <c r="AO42" s="436"/>
      <c r="AP42" s="436"/>
      <c r="AQ42" s="1078">
        <v>23</v>
      </c>
    </row>
    <row r="43" spans="1:43" ht="24" customHeight="1">
      <c r="A43" s="1286" t="s">
        <v>290</v>
      </c>
      <c r="B43" s="1286" t="s">
        <v>291</v>
      </c>
      <c r="C43" s="1286" t="s">
        <v>292</v>
      </c>
      <c r="D43" s="1286"/>
      <c r="E43" s="2507"/>
      <c r="F43" s="2507"/>
      <c r="G43" s="2506">
        <v>1</v>
      </c>
      <c r="H43" s="1286"/>
      <c r="I43" s="1286"/>
      <c r="J43" s="1286"/>
      <c r="K43" s="1286"/>
      <c r="L43" s="1287"/>
      <c r="M43" s="1288"/>
      <c r="N43" s="1288"/>
      <c r="O43" s="1288"/>
      <c r="P43" s="290"/>
      <c r="Q43" s="288"/>
      <c r="R43" s="289"/>
      <c r="S43" s="1416" t="str">
        <f>INDEX(PT_DIFFERENTIATION_NUM_CS,MATCH(C43,PT_DIFFERENTIATION_CS_ID,0))</f>
        <v>..</v>
      </c>
      <c r="T43" s="246" t="s">
        <v>533</v>
      </c>
      <c r="U43" s="237"/>
      <c r="V43" s="2492"/>
      <c r="W43" s="2493"/>
      <c r="X43" s="2493"/>
      <c r="Y43" s="2493"/>
      <c r="Z43" s="2493"/>
      <c r="AA43" s="2493"/>
      <c r="AB43" s="2494"/>
      <c r="AC43" s="2492" t="str">
        <f>INDEX(PT_DIFFERENTIATION_CS,MATCH(C43,PT_DIFFERENTIATION_CS_ID,0))</f>
        <v/>
      </c>
      <c r="AD43" s="2493"/>
      <c r="AE43" s="2493"/>
      <c r="AF43" s="2493"/>
      <c r="AG43" s="2493"/>
      <c r="AH43" s="2493"/>
      <c r="AI43" s="2493"/>
      <c r="AJ43" s="2494"/>
      <c r="AK43" s="1181" t="s">
        <v>534</v>
      </c>
      <c r="AM43" s="436"/>
      <c r="AN43" s="436" t="str">
        <f t="shared" si="1"/>
        <v>Наименование централизованной системы водоотведения</v>
      </c>
      <c r="AO43" s="436"/>
      <c r="AP43" s="436"/>
      <c r="AQ43" s="1078">
        <v>23</v>
      </c>
    </row>
    <row r="44" spans="1:43" ht="24" customHeight="1">
      <c r="A44" s="1286" t="s">
        <v>290</v>
      </c>
      <c r="B44" s="1286" t="s">
        <v>291</v>
      </c>
      <c r="C44" s="1286" t="s">
        <v>292</v>
      </c>
      <c r="D44" s="1286" t="s">
        <v>538</v>
      </c>
      <c r="E44" s="2507"/>
      <c r="F44" s="2507"/>
      <c r="G44" s="2507"/>
      <c r="H44" s="2507"/>
      <c r="I44" s="2504" t="str">
        <f>S43&amp;".1"</f>
        <v>...1</v>
      </c>
      <c r="J44" s="1286"/>
      <c r="K44" s="1286"/>
      <c r="L44" s="1287"/>
      <c r="P44" s="2505">
        <v>1</v>
      </c>
      <c r="Q44" s="1404"/>
      <c r="R44" s="292"/>
      <c r="S44" s="1416" t="str">
        <f>$I44</f>
        <v>...1</v>
      </c>
      <c r="T44" s="222" t="s">
        <v>500</v>
      </c>
      <c r="U44" s="237"/>
      <c r="V44" s="2576"/>
      <c r="W44" s="2577"/>
      <c r="X44" s="2577"/>
      <c r="Y44" s="2577"/>
      <c r="Z44" s="2577"/>
      <c r="AA44" s="2577"/>
      <c r="AB44" s="2578"/>
      <c r="AC44" s="2579"/>
      <c r="AD44" s="2580"/>
      <c r="AE44" s="2580"/>
      <c r="AF44" s="2580"/>
      <c r="AG44" s="2580"/>
      <c r="AH44" s="2580"/>
      <c r="AI44" s="2580"/>
      <c r="AJ44" s="2581"/>
      <c r="AK44" s="1181" t="s">
        <v>501</v>
      </c>
      <c r="AM44" s="436"/>
      <c r="AN44" s="436" t="str">
        <f t="shared" si="1"/>
        <v>Наименование признака дифференциации</v>
      </c>
      <c r="AO44" s="436"/>
      <c r="AP44" s="436"/>
      <c r="AQ44" s="1078">
        <v>23</v>
      </c>
    </row>
    <row r="45" spans="1:43" ht="24" customHeight="1">
      <c r="A45" s="1286" t="s">
        <v>290</v>
      </c>
      <c r="B45" s="1286" t="s">
        <v>291</v>
      </c>
      <c r="C45" s="1286" t="s">
        <v>292</v>
      </c>
      <c r="D45" s="1286" t="s">
        <v>538</v>
      </c>
      <c r="E45" s="2507"/>
      <c r="F45" s="2507"/>
      <c r="G45" s="2507"/>
      <c r="H45" s="2507"/>
      <c r="I45" s="2527"/>
      <c r="J45" s="2504" t="str">
        <f>I44&amp;".1"</f>
        <v>...1.1</v>
      </c>
      <c r="K45" s="1286"/>
      <c r="L45" s="1287" t="s">
        <v>425</v>
      </c>
      <c r="P45" s="2505"/>
      <c r="Q45" s="2505">
        <v>1</v>
      </c>
      <c r="R45" s="293"/>
      <c r="S45" s="1416" t="str">
        <f>$J45</f>
        <v>...1.1</v>
      </c>
      <c r="T45" s="223" t="s">
        <v>426</v>
      </c>
      <c r="U45" s="237"/>
      <c r="V45" s="2495"/>
      <c r="W45" s="2496"/>
      <c r="X45" s="2496"/>
      <c r="Y45" s="2496"/>
      <c r="Z45" s="2496"/>
      <c r="AA45" s="2496"/>
      <c r="AB45" s="2497"/>
      <c r="AC45" s="2495"/>
      <c r="AD45" s="2496"/>
      <c r="AE45" s="2496"/>
      <c r="AF45" s="2496"/>
      <c r="AG45" s="2496"/>
      <c r="AH45" s="2496"/>
      <c r="AI45" s="2496"/>
      <c r="AJ45" s="2497"/>
      <c r="AK45" s="1230" t="s">
        <v>502</v>
      </c>
      <c r="AM45" s="436"/>
      <c r="AN45" s="436" t="str">
        <f t="shared" si="1"/>
        <v>Группа потребителей</v>
      </c>
      <c r="AO45" s="436"/>
      <c r="AP45" s="436"/>
      <c r="AQ45" s="1078">
        <v>23</v>
      </c>
    </row>
    <row r="46" spans="1:43" ht="24" customHeight="1">
      <c r="A46" s="1286" t="s">
        <v>290</v>
      </c>
      <c r="B46" s="1286" t="s">
        <v>291</v>
      </c>
      <c r="C46" s="1286" t="s">
        <v>292</v>
      </c>
      <c r="D46" s="1286" t="s">
        <v>538</v>
      </c>
      <c r="E46" s="2507"/>
      <c r="F46" s="2507"/>
      <c r="G46" s="2507"/>
      <c r="H46" s="2507"/>
      <c r="I46" s="2527"/>
      <c r="J46" s="2527"/>
      <c r="K46" s="2504" t="str">
        <f>J45&amp;".1"</f>
        <v>...1.1.1</v>
      </c>
      <c r="L46" s="1287"/>
      <c r="P46" s="2505"/>
      <c r="Q46" s="2505"/>
      <c r="R46" s="293">
        <v>1</v>
      </c>
      <c r="S46" s="1416" t="str">
        <f>$K46</f>
        <v>...1.1.1</v>
      </c>
      <c r="T46" s="1360"/>
      <c r="U46" s="237"/>
      <c r="V46" s="1283"/>
      <c r="W46" s="1283"/>
      <c r="X46" s="1284"/>
      <c r="Y46" s="2511"/>
      <c r="Z46" s="2512" t="s">
        <v>63</v>
      </c>
      <c r="AA46" s="2511"/>
      <c r="AB46" s="2512" t="s">
        <v>63</v>
      </c>
      <c r="AC46" s="686"/>
      <c r="AD46" s="686"/>
      <c r="AE46" s="1180"/>
      <c r="AF46" s="2509"/>
      <c r="AG46" s="2360" t="s">
        <v>63</v>
      </c>
      <c r="AH46" s="2528"/>
      <c r="AI46" s="2360" t="s">
        <v>19</v>
      </c>
      <c r="AJ46" s="1361"/>
      <c r="AK46" s="257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8">
        <v>23</v>
      </c>
    </row>
    <row r="47" spans="1:43" ht="0" hidden="1" customHeight="1">
      <c r="A47" s="1286" t="s">
        <v>290</v>
      </c>
      <c r="B47" s="1286" t="s">
        <v>291</v>
      </c>
      <c r="C47" s="1286" t="s">
        <v>292</v>
      </c>
      <c r="D47" s="1286" t="s">
        <v>538</v>
      </c>
      <c r="E47" s="2507"/>
      <c r="F47" s="2507"/>
      <c r="G47" s="2507"/>
      <c r="H47" s="2507"/>
      <c r="I47" s="2527"/>
      <c r="J47" s="2527"/>
      <c r="K47" s="2504"/>
      <c r="L47" s="1287"/>
      <c r="P47" s="2505"/>
      <c r="Q47" s="2505"/>
      <c r="R47" s="293"/>
      <c r="S47" s="1413"/>
      <c r="T47" s="237"/>
      <c r="U47" s="237"/>
      <c r="V47" s="1283"/>
      <c r="W47" s="1283"/>
      <c r="X47" s="265" t="str">
        <f>Y46&amp;"-"&amp;AA46</f>
        <v>-</v>
      </c>
      <c r="Y47" s="2512"/>
      <c r="Z47" s="2512"/>
      <c r="AA47" s="2512"/>
      <c r="AB47" s="2512"/>
      <c r="AC47" s="262"/>
      <c r="AD47" s="262"/>
      <c r="AE47" s="265" t="str">
        <f>AF46&amp;"-"&amp;AH46</f>
        <v>-</v>
      </c>
      <c r="AF47" s="2510"/>
      <c r="AG47" s="2360"/>
      <c r="AH47" s="2529"/>
      <c r="AI47" s="2360"/>
      <c r="AJ47" s="1362"/>
      <c r="AK47" s="2575"/>
      <c r="AM47" s="436"/>
      <c r="AN47" s="436" t="str">
        <f t="shared" si="1"/>
        <v/>
      </c>
      <c r="AO47" s="436"/>
      <c r="AP47" s="436"/>
      <c r="AQ47" s="1078">
        <v>0</v>
      </c>
    </row>
    <row r="48" spans="1:43" ht="21" customHeight="1">
      <c r="A48" s="1286" t="s">
        <v>290</v>
      </c>
      <c r="B48" s="1286" t="s">
        <v>291</v>
      </c>
      <c r="C48" s="1286" t="s">
        <v>292</v>
      </c>
      <c r="D48" s="1286" t="s">
        <v>538</v>
      </c>
      <c r="E48" s="2507"/>
      <c r="F48" s="2507"/>
      <c r="G48" s="2507"/>
      <c r="H48" s="2507"/>
      <c r="I48" s="2527"/>
      <c r="J48" s="2504"/>
      <c r="K48" s="1286"/>
      <c r="L48" s="1287"/>
      <c r="P48" s="2505"/>
      <c r="Q48" s="2505"/>
      <c r="R48" s="292"/>
      <c r="S48" s="1201"/>
      <c r="T48" s="224" t="s">
        <v>503</v>
      </c>
      <c r="U48" s="303"/>
      <c r="V48" s="303"/>
      <c r="W48" s="303"/>
      <c r="X48" s="303"/>
      <c r="Y48" s="303"/>
      <c r="Z48" s="303"/>
      <c r="AA48" s="303"/>
      <c r="AB48" s="303"/>
      <c r="AC48" s="303"/>
      <c r="AD48" s="303"/>
      <c r="AE48" s="303"/>
      <c r="AF48" s="303"/>
      <c r="AG48" s="303"/>
      <c r="AH48" s="303"/>
      <c r="AI48" s="303"/>
      <c r="AJ48" s="303"/>
      <c r="AK48" s="1181" t="s">
        <v>504</v>
      </c>
      <c r="AM48" s="436"/>
      <c r="AN48" s="436" t="str">
        <f t="shared" si="1"/>
        <v>Добавить значение признака дифференциации</v>
      </c>
      <c r="AO48" s="436"/>
      <c r="AP48" s="436"/>
      <c r="AQ48" s="1078">
        <v>20</v>
      </c>
    </row>
    <row r="49" spans="1:43" ht="21.95" customHeight="1">
      <c r="A49" s="1286" t="s">
        <v>290</v>
      </c>
      <c r="B49" s="1286" t="s">
        <v>291</v>
      </c>
      <c r="C49" s="1286" t="s">
        <v>292</v>
      </c>
      <c r="D49" s="1286" t="s">
        <v>538</v>
      </c>
      <c r="E49" s="2507"/>
      <c r="F49" s="2507"/>
      <c r="G49" s="2507"/>
      <c r="H49" s="2507"/>
      <c r="I49" s="2504"/>
      <c r="J49" s="1286"/>
      <c r="K49" s="1286"/>
      <c r="L49" s="1287"/>
      <c r="P49" s="2505"/>
      <c r="Q49" s="1404"/>
      <c r="R49" s="292"/>
      <c r="S49" s="1201"/>
      <c r="T49" s="301" t="s">
        <v>431</v>
      </c>
      <c r="U49" s="303"/>
      <c r="V49" s="303"/>
      <c r="W49" s="303"/>
      <c r="X49" s="303"/>
      <c r="Y49" s="303"/>
      <c r="Z49" s="303"/>
      <c r="AA49" s="303"/>
      <c r="AB49" s="302"/>
      <c r="AC49" s="303"/>
      <c r="AD49" s="303"/>
      <c r="AE49" s="303"/>
      <c r="AF49" s="303"/>
      <c r="AG49" s="303"/>
      <c r="AH49" s="303"/>
      <c r="AI49" s="302"/>
      <c r="AJ49" s="303"/>
      <c r="AK49" s="1363"/>
      <c r="AM49" s="436"/>
      <c r="AN49" s="436" t="str">
        <f t="shared" si="1"/>
        <v>Добавить группу потребителей</v>
      </c>
      <c r="AO49" s="436"/>
      <c r="AP49" s="436"/>
      <c r="AQ49" s="1078">
        <v>21</v>
      </c>
    </row>
    <row r="50" spans="1:43" ht="21.95" customHeight="1">
      <c r="A50" s="1286" t="s">
        <v>290</v>
      </c>
      <c r="B50" s="1286" t="s">
        <v>291</v>
      </c>
      <c r="C50" s="1286" t="s">
        <v>292</v>
      </c>
      <c r="D50" s="1286" t="s">
        <v>538</v>
      </c>
      <c r="E50" s="2507"/>
      <c r="F50" s="2507"/>
      <c r="G50" s="2507"/>
      <c r="H50" s="2506"/>
      <c r="I50" s="1286"/>
      <c r="J50" s="1286"/>
      <c r="K50" s="1286"/>
      <c r="L50" s="1287"/>
      <c r="M50" s="1288"/>
      <c r="N50" s="1288"/>
      <c r="O50" s="473"/>
      <c r="P50" s="296"/>
      <c r="Q50" s="311"/>
      <c r="R50" s="291"/>
      <c r="S50" s="1201"/>
      <c r="T50" s="308" t="s">
        <v>505</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8">
        <v>21</v>
      </c>
    </row>
    <row r="51" spans="1:43" s="1565" customFormat="1" ht="0" hidden="1" customHeight="1">
      <c r="A51" s="1266" t="s">
        <v>290</v>
      </c>
      <c r="B51" s="1266" t="s">
        <v>291</v>
      </c>
      <c r="C51" s="1237"/>
      <c r="D51" s="1237"/>
      <c r="E51" s="2507"/>
      <c r="F51" s="2506"/>
      <c r="G51" s="1237"/>
      <c r="H51" s="1237"/>
      <c r="I51" s="1237"/>
      <c r="J51" s="1237"/>
      <c r="K51" s="1237"/>
      <c r="L51" s="1417"/>
      <c r="M51" s="1244"/>
      <c r="N51" s="1244"/>
      <c r="P51" s="1239"/>
      <c r="Q51" s="1240"/>
      <c r="R51" s="1239"/>
      <c r="S51" s="1245"/>
      <c r="T51" s="1248" t="s">
        <v>434</v>
      </c>
      <c r="U51" s="1247"/>
      <c r="V51" s="1247"/>
      <c r="W51" s="1247"/>
      <c r="X51" s="1247"/>
      <c r="Y51" s="1247"/>
      <c r="Z51" s="1247"/>
      <c r="AA51" s="1247"/>
      <c r="AB51" s="1247"/>
      <c r="AC51" s="1247"/>
      <c r="AD51" s="1247"/>
      <c r="AE51" s="1247"/>
      <c r="AF51" s="1247"/>
      <c r="AG51" s="1247"/>
      <c r="AH51" s="1247"/>
      <c r="AI51" s="1247"/>
      <c r="AJ51" s="1247"/>
      <c r="AK51" s="1247"/>
      <c r="AM51" s="718"/>
      <c r="AN51" s="718" t="str">
        <f t="shared" si="1"/>
        <v>Добавить централизованную систему для дифференциации</v>
      </c>
      <c r="AO51" s="718"/>
      <c r="AP51" s="718"/>
      <c r="AQ51" s="454">
        <v>0</v>
      </c>
    </row>
    <row r="52" spans="1:43" s="1565" customFormat="1" ht="0" hidden="1" customHeight="1">
      <c r="A52" s="1266" t="s">
        <v>290</v>
      </c>
      <c r="B52" s="1266"/>
      <c r="C52" s="1266"/>
      <c r="D52" s="1266"/>
      <c r="E52" s="2506"/>
      <c r="F52" s="1266"/>
      <c r="G52" s="1266"/>
      <c r="H52" s="1266"/>
      <c r="I52" s="1266"/>
      <c r="J52" s="1266"/>
      <c r="K52" s="1266"/>
      <c r="L52" s="1269"/>
      <c r="M52" s="1244"/>
      <c r="N52" s="1244"/>
      <c r="O52" s="454"/>
      <c r="P52" s="316"/>
      <c r="Q52" s="1267"/>
      <c r="R52" s="316"/>
      <c r="S52" s="1245"/>
      <c r="T52" s="1248" t="s">
        <v>435</v>
      </c>
      <c r="U52" s="1247"/>
      <c r="V52" s="1247"/>
      <c r="W52" s="1247"/>
      <c r="X52" s="1247"/>
      <c r="Y52" s="1247"/>
      <c r="Z52" s="1247"/>
      <c r="AA52" s="1247"/>
      <c r="AB52" s="1247"/>
      <c r="AC52" s="1247"/>
      <c r="AD52" s="1247"/>
      <c r="AE52" s="1247"/>
      <c r="AF52" s="1247"/>
      <c r="AG52" s="1247"/>
      <c r="AH52" s="1247"/>
      <c r="AI52" s="1247"/>
      <c r="AJ52" s="1247"/>
      <c r="AK52" s="1247"/>
      <c r="AM52" s="436"/>
      <c r="AN52" s="436" t="str">
        <f t="shared" si="1"/>
        <v>Добавить территорию для дифференциации</v>
      </c>
      <c r="AO52" s="436"/>
      <c r="AP52" s="436"/>
      <c r="AQ52" s="447">
        <v>0</v>
      </c>
    </row>
    <row r="53" spans="1:43" s="1565" customFormat="1" ht="0" hidden="1" customHeight="1">
      <c r="A53" s="1237"/>
      <c r="B53" s="1237"/>
      <c r="C53" s="1237"/>
      <c r="D53" s="1237"/>
      <c r="E53" s="1266"/>
      <c r="F53" s="1237"/>
      <c r="G53" s="1237"/>
      <c r="H53" s="1237"/>
      <c r="I53" s="1237"/>
      <c r="J53" s="1237"/>
      <c r="K53" s="1237"/>
      <c r="L53" s="1417"/>
      <c r="M53" s="1244"/>
      <c r="N53" s="1244"/>
      <c r="P53" s="1239"/>
      <c r="Q53" s="1240"/>
      <c r="R53" s="1239"/>
      <c r="S53" s="1245"/>
      <c r="T53" s="1248" t="s">
        <v>463</v>
      </c>
      <c r="U53" s="1247"/>
      <c r="V53" s="1247"/>
      <c r="W53" s="1247"/>
      <c r="X53" s="1247"/>
      <c r="Y53" s="1247"/>
      <c r="Z53" s="1247"/>
      <c r="AA53" s="1247"/>
      <c r="AB53" s="1247"/>
      <c r="AC53" s="1247"/>
      <c r="AD53" s="1247"/>
      <c r="AE53" s="1247"/>
      <c r="AF53" s="1247"/>
      <c r="AG53" s="1247"/>
      <c r="AH53" s="1247"/>
      <c r="AI53" s="1247"/>
      <c r="AJ53" s="1247"/>
      <c r="AK53" s="1247"/>
      <c r="AM53" s="718"/>
      <c r="AN53" s="718" t="str">
        <f t="shared" si="1"/>
        <v>Добавить наименование тарифа</v>
      </c>
      <c r="AO53" s="718"/>
      <c r="AP53" s="718"/>
      <c r="AQ53" s="454">
        <v>0</v>
      </c>
    </row>
    <row r="54" spans="1:43" ht="11.45" customHeight="1">
      <c r="M54" s="1083"/>
      <c r="N54" s="1083"/>
      <c r="O54" s="473"/>
      <c r="P54" s="1078"/>
      <c r="Q54" s="1078"/>
      <c r="R54" s="1078"/>
      <c r="S54" s="1078"/>
      <c r="AL54" s="1078"/>
      <c r="AM54" s="1078"/>
      <c r="AN54" s="1078"/>
      <c r="AO54" s="1078"/>
      <c r="AP54" s="1078"/>
      <c r="AQ54" s="1078">
        <v>11</v>
      </c>
    </row>
    <row r="55" spans="1:43" ht="14.65" customHeight="1">
      <c r="O55" s="473"/>
      <c r="S55" s="1176"/>
      <c r="T55" s="2526"/>
      <c r="U55" s="2526"/>
      <c r="V55" s="2526"/>
      <c r="W55" s="2526"/>
      <c r="X55" s="2526"/>
      <c r="Y55" s="2526"/>
      <c r="Z55" s="2526"/>
      <c r="AA55" s="2526"/>
      <c r="AB55" s="2526"/>
      <c r="AC55" s="2526"/>
      <c r="AD55" s="2526"/>
      <c r="AE55" s="2526"/>
      <c r="AF55" s="2526"/>
      <c r="AG55" s="2526"/>
      <c r="AH55" s="2526"/>
      <c r="AI55" s="2526"/>
      <c r="AJ55" s="2526"/>
      <c r="AK55" s="2526"/>
      <c r="AQ55" s="1078">
        <v>14</v>
      </c>
    </row>
    <row r="56" spans="1:43" ht="14.65" customHeight="1">
      <c r="O56" s="473"/>
      <c r="AQ56" s="1078">
        <v>14</v>
      </c>
    </row>
    <row r="57" spans="1:43" ht="14.65" customHeight="1">
      <c r="O57" s="473"/>
      <c r="S57" s="1176"/>
      <c r="T57" s="2526"/>
      <c r="U57" s="2526"/>
      <c r="V57" s="2526"/>
      <c r="W57" s="2526"/>
      <c r="X57" s="2526"/>
      <c r="Y57" s="2526"/>
      <c r="Z57" s="2526"/>
      <c r="AA57" s="2526"/>
      <c r="AB57" s="2526"/>
      <c r="AC57" s="2526"/>
      <c r="AD57" s="2526"/>
      <c r="AE57" s="2526"/>
      <c r="AF57" s="2526"/>
      <c r="AG57" s="2526"/>
      <c r="AH57" s="2526"/>
      <c r="AI57" s="2526"/>
      <c r="AJ57" s="2526"/>
      <c r="AK57" s="2526"/>
      <c r="AQ57" s="1078">
        <v>14</v>
      </c>
    </row>
    <row r="58" spans="1:43" ht="22.5" hidden="1" customHeight="1">
      <c r="A58" s="1083" t="s">
        <v>83</v>
      </c>
      <c r="B58" s="1083">
        <v>0</v>
      </c>
      <c r="C58" s="1083">
        <v>0</v>
      </c>
      <c r="D58" s="1083">
        <v>0</v>
      </c>
      <c r="E58" s="1083">
        <v>0</v>
      </c>
      <c r="F58" s="1083">
        <v>0</v>
      </c>
      <c r="G58" s="1083">
        <v>0</v>
      </c>
      <c r="H58" s="1083">
        <v>0</v>
      </c>
      <c r="I58" s="1083">
        <v>0</v>
      </c>
      <c r="J58" s="1083">
        <v>0</v>
      </c>
      <c r="K58" s="1083">
        <v>0</v>
      </c>
      <c r="L58" s="1401">
        <v>0</v>
      </c>
      <c r="M58" s="1285">
        <v>0</v>
      </c>
      <c r="N58" s="1285">
        <v>0</v>
      </c>
      <c r="O58" s="1285">
        <v>0</v>
      </c>
      <c r="P58" s="1396">
        <v>3</v>
      </c>
      <c r="Q58" s="281">
        <v>3</v>
      </c>
      <c r="R58" s="281">
        <v>3</v>
      </c>
      <c r="S58" s="517">
        <v>12</v>
      </c>
      <c r="T58" s="1078">
        <v>35</v>
      </c>
      <c r="U58" s="1078">
        <v>0</v>
      </c>
      <c r="V58" s="1078">
        <v>0</v>
      </c>
      <c r="W58" s="1078">
        <v>0</v>
      </c>
      <c r="X58" s="1078">
        <v>0</v>
      </c>
      <c r="Y58" s="1078">
        <v>0</v>
      </c>
      <c r="Z58" s="1078">
        <v>0</v>
      </c>
      <c r="AA58" s="1078">
        <v>0</v>
      </c>
      <c r="AB58" s="1078">
        <v>0</v>
      </c>
      <c r="AC58" s="1078">
        <v>24</v>
      </c>
      <c r="AD58" s="1078">
        <v>24</v>
      </c>
      <c r="AE58" s="1078">
        <v>24</v>
      </c>
      <c r="AF58" s="1078">
        <v>11</v>
      </c>
      <c r="AG58" s="1078">
        <v>3</v>
      </c>
      <c r="AH58" s="1078">
        <v>11</v>
      </c>
      <c r="AI58" s="1078">
        <v>0</v>
      </c>
      <c r="AJ58" s="1078">
        <v>4</v>
      </c>
      <c r="AK58" s="1078">
        <v>115</v>
      </c>
      <c r="AL58" s="447">
        <v>10</v>
      </c>
      <c r="AM58" s="447">
        <v>10</v>
      </c>
      <c r="AN58" s="447">
        <v>10</v>
      </c>
      <c r="AO58" s="447">
        <v>10</v>
      </c>
      <c r="AP58" s="447">
        <v>10</v>
      </c>
      <c r="AQ58" s="1078">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89" hidden="1" customWidth="1"/>
    <col min="2" max="2" width="11" style="1289" hidden="1" customWidth="1"/>
    <col min="3" max="3" width="10.5703125" style="1289" hidden="1"/>
    <col min="4" max="4" width="12.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2" style="1289" hidden="1" customWidth="1"/>
    <col min="10" max="10" width="9.85546875" style="1289" hidden="1" customWidth="1"/>
    <col min="11" max="11" width="11.42578125" style="1289" hidden="1" customWidth="1"/>
    <col min="12" max="12" width="19.140625" style="2043" hidden="1" customWidth="1"/>
    <col min="13" max="14" width="12.28515625" style="1696" hidden="1" customWidth="1"/>
    <col min="15" max="15" width="23.42578125" style="1696" hidden="1" customWidth="1"/>
    <col min="16" max="16" width="3.7109375" style="1696" hidden="1" customWidth="1"/>
    <col min="17" max="17" width="3.7109375" style="1294" hidden="1" customWidth="1"/>
    <col min="18" max="18" width="3" style="281" customWidth="1"/>
    <col min="19" max="19" width="12" style="2033" customWidth="1"/>
    <col min="20" max="20" width="31" style="1558" customWidth="1"/>
    <col min="21" max="21" width="0.140625" style="1558" customWidth="1"/>
    <col min="22" max="25" width="21.7109375" style="1558" hidden="1" customWidth="1"/>
    <col min="26" max="26" width="11.7109375" style="1558" hidden="1" customWidth="1"/>
    <col min="27" max="27" width="3.7109375" style="1558" hidden="1" customWidth="1"/>
    <col min="28" max="28" width="11.7109375" style="1558" hidden="1" customWidth="1"/>
    <col min="29" max="29" width="8.5703125" style="1558" hidden="1" customWidth="1"/>
    <col min="30" max="30" width="3.7109375" style="1558" customWidth="1"/>
    <col min="31" max="32" width="3" style="1558" customWidth="1"/>
    <col min="33" max="33" width="24" style="1558" customWidth="1"/>
    <col min="34" max="34" width="3.7109375" style="1558" customWidth="1"/>
    <col min="35" max="36" width="3" style="1558" customWidth="1"/>
    <col min="37" max="37" width="24" style="1558" customWidth="1"/>
    <col min="38" max="38" width="3.7109375" style="1558" customWidth="1"/>
    <col min="39" max="40" width="3" style="1558" customWidth="1"/>
    <col min="41" max="41" width="18" style="1558" customWidth="1"/>
    <col min="42" max="42" width="3.7109375" style="1558" customWidth="1"/>
    <col min="43" max="44" width="3" style="1558" customWidth="1"/>
    <col min="45" max="45" width="18" style="1558" customWidth="1"/>
    <col min="46" max="49" width="21" style="1558" customWidth="1"/>
    <col min="50" max="50" width="11" style="1558" customWidth="1"/>
    <col min="51" max="51" width="3.7109375" style="1558" customWidth="1"/>
    <col min="52" max="52" width="11" style="1558" customWidth="1"/>
    <col min="53" max="53" width="8.5703125" style="1558" hidden="1" customWidth="1"/>
    <col min="54" max="54" width="4" style="1558" customWidth="1"/>
    <col min="55" max="55" width="115" style="1558" customWidth="1"/>
    <col min="56" max="60" width="10" style="1565" customWidth="1"/>
    <col min="61" max="61" width="10.5703125" style="1558" hidden="1"/>
  </cols>
  <sheetData>
    <row r="1" spans="1:61" ht="22.5" hidden="1" customHeight="1">
      <c r="W1" s="264"/>
      <c r="Y1" s="264"/>
      <c r="Z1" s="264"/>
      <c r="AW1" s="264"/>
      <c r="AX1" s="264"/>
      <c r="BI1" s="1078" t="s">
        <v>14</v>
      </c>
    </row>
    <row r="2" spans="1:61" ht="21" hidden="1" customHeight="1">
      <c r="A2" s="1286"/>
      <c r="B2" s="1286"/>
      <c r="C2" s="1286"/>
      <c r="D2" s="1286"/>
      <c r="E2" s="2506">
        <v>1</v>
      </c>
      <c r="F2" s="1286"/>
      <c r="G2" s="1286"/>
      <c r="H2" s="1286"/>
      <c r="I2" s="1286"/>
      <c r="J2" s="1286"/>
      <c r="K2" s="1286"/>
      <c r="L2" s="1287"/>
      <c r="M2" s="1288"/>
      <c r="N2" s="1288"/>
      <c r="O2" s="1288"/>
      <c r="P2" s="1332"/>
      <c r="Q2" s="802"/>
      <c r="R2" s="291"/>
      <c r="S2" s="1416" t="e">
        <f>INDEX(PT_DIFFERENTIATION_NUM_NTAR,MATCH(A2,PT_DIFFERENTIATION_NTAR_ID,0))</f>
        <v>#N/A</v>
      </c>
      <c r="T2" s="235" t="s">
        <v>144</v>
      </c>
      <c r="U2" s="237"/>
      <c r="V2" s="2493"/>
      <c r="W2" s="2493"/>
      <c r="X2" s="2493"/>
      <c r="Y2" s="2493"/>
      <c r="Z2" s="2493"/>
      <c r="AA2" s="2493"/>
      <c r="AB2" s="2493"/>
      <c r="AC2" s="2494"/>
      <c r="AD2" s="2492" t="e">
        <f>INDEX(PT_DIFFERENTIATION_NTAR,MATCH(A2,PT_DIFFERENTIATION_NTAR_ID,0))</f>
        <v>#N/A</v>
      </c>
      <c r="AE2" s="2493"/>
      <c r="AF2" s="2493"/>
      <c r="AG2" s="2493"/>
      <c r="AH2" s="2493"/>
      <c r="AI2" s="2493"/>
      <c r="AJ2" s="2493"/>
      <c r="AK2" s="2493"/>
      <c r="AL2" s="2493"/>
      <c r="AM2" s="2493"/>
      <c r="AN2" s="2493"/>
      <c r="AO2" s="2493"/>
      <c r="AP2" s="2493"/>
      <c r="AQ2" s="2493"/>
      <c r="AR2" s="2493"/>
      <c r="AS2" s="2493"/>
      <c r="AT2" s="2493"/>
      <c r="AU2" s="2493"/>
      <c r="AV2" s="2493"/>
      <c r="AW2" s="2493"/>
      <c r="AX2" s="2493"/>
      <c r="AY2" s="2493"/>
      <c r="AZ2" s="2493"/>
      <c r="BA2" s="2493"/>
      <c r="BB2" s="2494"/>
      <c r="BC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78">
        <v>0</v>
      </c>
    </row>
    <row r="3" spans="1:61" ht="21" hidden="1" customHeight="1">
      <c r="A3" s="1286"/>
      <c r="B3" s="1286"/>
      <c r="C3" s="1286"/>
      <c r="D3" s="1286"/>
      <c r="E3" s="2507"/>
      <c r="F3" s="2506">
        <v>1</v>
      </c>
      <c r="G3" s="1286"/>
      <c r="H3" s="1286"/>
      <c r="I3" s="1286"/>
      <c r="J3" s="1286"/>
      <c r="K3" s="1286"/>
      <c r="L3" s="1287"/>
      <c r="M3" s="1288"/>
      <c r="N3" s="1288"/>
      <c r="O3" s="1288"/>
      <c r="P3" s="1333"/>
      <c r="Q3" s="1334"/>
      <c r="R3" s="289"/>
      <c r="S3" s="1416" t="e">
        <f>INDEX(PT_DIFFERENTIATION_NUM_TER,MATCH(B3,PT_DIFFERENTIATION_TER_ID,0))</f>
        <v>#N/A</v>
      </c>
      <c r="T3" s="245" t="s">
        <v>416</v>
      </c>
      <c r="U3" s="237"/>
      <c r="V3" s="2493"/>
      <c r="W3" s="2493"/>
      <c r="X3" s="2493"/>
      <c r="Y3" s="2493"/>
      <c r="Z3" s="2493"/>
      <c r="AA3" s="2493"/>
      <c r="AB3" s="2493"/>
      <c r="AC3" s="2494"/>
      <c r="AD3" s="2492" t="e">
        <f>INDEX(PT_DIFFERENTIATION_TER,MATCH(B3,PT_DIFFERENTIATION_TER_ID,0))</f>
        <v>#N/A</v>
      </c>
      <c r="AE3" s="2493"/>
      <c r="AF3" s="2493"/>
      <c r="AG3" s="2493"/>
      <c r="AH3" s="2493"/>
      <c r="AI3" s="2493"/>
      <c r="AJ3" s="2493"/>
      <c r="AK3" s="2493"/>
      <c r="AL3" s="2493"/>
      <c r="AM3" s="2493"/>
      <c r="AN3" s="2493"/>
      <c r="AO3" s="2493"/>
      <c r="AP3" s="2493"/>
      <c r="AQ3" s="2493"/>
      <c r="AR3" s="2493"/>
      <c r="AS3" s="2493"/>
      <c r="AT3" s="2493"/>
      <c r="AU3" s="2493"/>
      <c r="AV3" s="2493"/>
      <c r="AW3" s="2493"/>
      <c r="AX3" s="2493"/>
      <c r="AY3" s="2493"/>
      <c r="AZ3" s="2493"/>
      <c r="BA3" s="2493"/>
      <c r="BB3" s="2494"/>
      <c r="BC3" s="1181" t="s">
        <v>417</v>
      </c>
      <c r="BE3" s="436"/>
      <c r="BF3" s="436" t="str">
        <f t="shared" si="0"/>
        <v>Территория действия тарифа</v>
      </c>
      <c r="BG3" s="436"/>
      <c r="BH3" s="436"/>
      <c r="BI3" s="1078">
        <v>0</v>
      </c>
    </row>
    <row r="4" spans="1:61" ht="33.75" hidden="1" customHeight="1">
      <c r="A4" s="1286"/>
      <c r="B4" s="1286"/>
      <c r="C4" s="1286"/>
      <c r="D4" s="1286"/>
      <c r="E4" s="2507"/>
      <c r="F4" s="2507"/>
      <c r="G4" s="2506">
        <v>1</v>
      </c>
      <c r="H4" s="1286"/>
      <c r="I4" s="1286"/>
      <c r="J4" s="1286"/>
      <c r="K4" s="1286"/>
      <c r="L4" s="1287"/>
      <c r="M4" s="1288"/>
      <c r="N4" s="1288"/>
      <c r="O4" s="1288"/>
      <c r="P4" s="1335"/>
      <c r="Q4" s="1334"/>
      <c r="R4" s="289"/>
      <c r="S4" s="1416" t="e">
        <f>INDEX(PT_DIFFERENTIATION_NUM_CS,MATCH(C4,PT_DIFFERENTIATION_CS_ID,0))</f>
        <v>#N/A</v>
      </c>
      <c r="T4" s="246" t="s">
        <v>533</v>
      </c>
      <c r="U4" s="237"/>
      <c r="V4" s="2493"/>
      <c r="W4" s="2493"/>
      <c r="X4" s="2493"/>
      <c r="Y4" s="2493"/>
      <c r="Z4" s="2493"/>
      <c r="AA4" s="2493"/>
      <c r="AB4" s="2493"/>
      <c r="AC4" s="2494"/>
      <c r="AD4" s="2492" t="e">
        <f>INDEX(PT_DIFFERENTIATION_CS,MATCH(C4,PT_DIFFERENTIATION_CS_ID,0))</f>
        <v>#N/A</v>
      </c>
      <c r="AE4" s="2493"/>
      <c r="AF4" s="2493"/>
      <c r="AG4" s="2493"/>
      <c r="AH4" s="2493"/>
      <c r="AI4" s="2493"/>
      <c r="AJ4" s="2493"/>
      <c r="AK4" s="2493"/>
      <c r="AL4" s="2493"/>
      <c r="AM4" s="2493"/>
      <c r="AN4" s="2493"/>
      <c r="AO4" s="2493"/>
      <c r="AP4" s="2493"/>
      <c r="AQ4" s="2493"/>
      <c r="AR4" s="2493"/>
      <c r="AS4" s="2493"/>
      <c r="AT4" s="2493"/>
      <c r="AU4" s="2493"/>
      <c r="AV4" s="2493"/>
      <c r="AW4" s="2493"/>
      <c r="AX4" s="2493"/>
      <c r="AY4" s="2493"/>
      <c r="AZ4" s="2493"/>
      <c r="BA4" s="2493"/>
      <c r="BB4" s="2494"/>
      <c r="BC4" s="1181" t="s">
        <v>534</v>
      </c>
      <c r="BE4" s="436"/>
      <c r="BF4" s="436" t="str">
        <f t="shared" si="0"/>
        <v>Наименование централизованной системы водоотведения</v>
      </c>
      <c r="BG4" s="436"/>
      <c r="BH4" s="436"/>
      <c r="BI4" s="1078">
        <v>0</v>
      </c>
    </row>
    <row r="5" spans="1:61" s="1565" customFormat="1" ht="14.25" hidden="1" customHeight="1">
      <c r="A5" s="1266"/>
      <c r="B5" s="1266"/>
      <c r="C5" s="1266"/>
      <c r="D5" s="1266"/>
      <c r="E5" s="2507"/>
      <c r="F5" s="2507"/>
      <c r="G5" s="2507"/>
      <c r="H5" s="2506">
        <v>1</v>
      </c>
      <c r="I5" s="1266"/>
      <c r="J5" s="1266"/>
      <c r="K5" s="1266"/>
      <c r="L5" s="1269"/>
      <c r="M5" s="1238"/>
      <c r="N5" s="1238"/>
      <c r="O5" s="1238"/>
      <c r="P5" s="1420"/>
      <c r="Q5" s="1421"/>
      <c r="R5" s="293"/>
      <c r="S5" s="969"/>
      <c r="T5" s="1422"/>
      <c r="U5" s="1307"/>
      <c r="V5" s="2536"/>
      <c r="W5" s="2536"/>
      <c r="X5" s="2536"/>
      <c r="Y5" s="2536"/>
      <c r="Z5" s="2536"/>
      <c r="AA5" s="2536"/>
      <c r="AB5" s="2536"/>
      <c r="AC5" s="2537"/>
      <c r="AD5" s="2535"/>
      <c r="AE5" s="2536"/>
      <c r="AF5" s="2536"/>
      <c r="AG5" s="2536"/>
      <c r="AH5" s="2536"/>
      <c r="AI5" s="2536"/>
      <c r="AJ5" s="2536"/>
      <c r="AK5" s="2536"/>
      <c r="AL5" s="2536"/>
      <c r="AM5" s="2536"/>
      <c r="AN5" s="2536"/>
      <c r="AO5" s="2536"/>
      <c r="AP5" s="2536"/>
      <c r="AQ5" s="2536"/>
      <c r="AR5" s="2536"/>
      <c r="AS5" s="2536"/>
      <c r="AT5" s="2536"/>
      <c r="AU5" s="2536"/>
      <c r="AV5" s="2536"/>
      <c r="AW5" s="2536"/>
      <c r="AX5" s="2536"/>
      <c r="AY5" s="2536"/>
      <c r="AZ5" s="2536"/>
      <c r="BA5" s="2536"/>
      <c r="BB5" s="2537"/>
      <c r="BC5" s="1308" t="s">
        <v>421</v>
      </c>
      <c r="BE5" s="436"/>
      <c r="BF5" s="436" t="str">
        <f t="shared" si="0"/>
        <v/>
      </c>
      <c r="BG5" s="436"/>
      <c r="BH5" s="436"/>
      <c r="BI5" s="447">
        <v>0</v>
      </c>
    </row>
    <row r="6" spans="1:61" s="1565" customFormat="1" ht="14.25" hidden="1" customHeight="1">
      <c r="A6" s="1266"/>
      <c r="B6" s="1266"/>
      <c r="C6" s="1266"/>
      <c r="D6" s="1266"/>
      <c r="E6" s="2507"/>
      <c r="F6" s="2507"/>
      <c r="G6" s="2507"/>
      <c r="H6" s="2507"/>
      <c r="I6" s="2504" t="str">
        <f>S5&amp;".1"</f>
        <v>.1</v>
      </c>
      <c r="J6" s="1266"/>
      <c r="K6" s="1266"/>
      <c r="L6" s="1269" t="s">
        <v>422</v>
      </c>
      <c r="M6" s="446"/>
      <c r="N6" s="446"/>
      <c r="O6" s="446"/>
      <c r="P6" s="2505">
        <v>1</v>
      </c>
      <c r="Q6" s="1404"/>
      <c r="R6" s="292"/>
      <c r="S6" s="969"/>
      <c r="T6" s="1306"/>
      <c r="U6" s="1307"/>
      <c r="V6" s="2536"/>
      <c r="W6" s="2536"/>
      <c r="X6" s="2536"/>
      <c r="Y6" s="2536"/>
      <c r="Z6" s="2536"/>
      <c r="AA6" s="2536"/>
      <c r="AB6" s="2536"/>
      <c r="AC6" s="2537"/>
      <c r="AD6" s="2535"/>
      <c r="AE6" s="2536"/>
      <c r="AF6" s="2536"/>
      <c r="AG6" s="2536"/>
      <c r="AH6" s="2536"/>
      <c r="AI6" s="2536"/>
      <c r="AJ6" s="2536"/>
      <c r="AK6" s="2536"/>
      <c r="AL6" s="2536"/>
      <c r="AM6" s="2536"/>
      <c r="AN6" s="2536"/>
      <c r="AO6" s="2536"/>
      <c r="AP6" s="2536"/>
      <c r="AQ6" s="2536"/>
      <c r="AR6" s="2536"/>
      <c r="AS6" s="2536"/>
      <c r="AT6" s="2536"/>
      <c r="AU6" s="2536"/>
      <c r="AV6" s="2536"/>
      <c r="AW6" s="2536"/>
      <c r="AX6" s="2536"/>
      <c r="AY6" s="2536"/>
      <c r="AZ6" s="2536"/>
      <c r="BA6" s="2536"/>
      <c r="BB6" s="2537"/>
      <c r="BC6" s="1308"/>
      <c r="BE6" s="436"/>
      <c r="BF6" s="436" t="str">
        <f t="shared" si="0"/>
        <v/>
      </c>
      <c r="BG6" s="436"/>
      <c r="BH6" s="436"/>
      <c r="BI6" s="447">
        <v>0</v>
      </c>
    </row>
    <row r="7" spans="1:61" s="1565" customFormat="1" ht="14.25" hidden="1" customHeight="1">
      <c r="A7" s="1266"/>
      <c r="B7" s="1266"/>
      <c r="C7" s="1266"/>
      <c r="D7" s="1266"/>
      <c r="E7" s="2507"/>
      <c r="F7" s="2507"/>
      <c r="G7" s="2507"/>
      <c r="H7" s="2507"/>
      <c r="I7" s="2527"/>
      <c r="J7" s="2504" t="str">
        <f>S5&amp;".1"</f>
        <v>.1</v>
      </c>
      <c r="K7" s="1266"/>
      <c r="L7" s="1269"/>
      <c r="M7" s="446"/>
      <c r="N7" s="446"/>
      <c r="O7" s="446"/>
      <c r="P7" s="2505"/>
      <c r="Q7" s="2505">
        <v>1</v>
      </c>
      <c r="R7" s="293"/>
      <c r="S7" s="969"/>
      <c r="T7" s="1322"/>
      <c r="U7" s="1307"/>
      <c r="V7" s="2536"/>
      <c r="W7" s="2536"/>
      <c r="X7" s="2536"/>
      <c r="Y7" s="2536"/>
      <c r="Z7" s="2536"/>
      <c r="AA7" s="2536"/>
      <c r="AB7" s="2536"/>
      <c r="AC7" s="2537"/>
      <c r="AD7" s="2535"/>
      <c r="AE7" s="2536"/>
      <c r="AF7" s="2536"/>
      <c r="AG7" s="2536"/>
      <c r="AH7" s="2536"/>
      <c r="AI7" s="2536"/>
      <c r="AJ7" s="2536"/>
      <c r="AK7" s="2536"/>
      <c r="AL7" s="2536"/>
      <c r="AM7" s="2536"/>
      <c r="AN7" s="2536"/>
      <c r="AO7" s="2536"/>
      <c r="AP7" s="2536"/>
      <c r="AQ7" s="2536"/>
      <c r="AR7" s="2536"/>
      <c r="AS7" s="2536"/>
      <c r="AT7" s="2536"/>
      <c r="AU7" s="2536"/>
      <c r="AV7" s="2536"/>
      <c r="AW7" s="2536"/>
      <c r="AX7" s="2536"/>
      <c r="AY7" s="2536"/>
      <c r="AZ7" s="2536"/>
      <c r="BA7" s="2536"/>
      <c r="BB7" s="2537"/>
      <c r="BC7" s="1308"/>
      <c r="BE7" s="436"/>
      <c r="BF7" s="436" t="str">
        <f t="shared" si="0"/>
        <v/>
      </c>
      <c r="BG7" s="436"/>
      <c r="BH7" s="436"/>
      <c r="BI7" s="447">
        <v>0</v>
      </c>
    </row>
    <row r="8" spans="1:61" ht="11.25" hidden="1" customHeight="1">
      <c r="A8" s="1286"/>
      <c r="B8" s="1286"/>
      <c r="C8" s="1286"/>
      <c r="D8" s="1286"/>
      <c r="E8" s="2507"/>
      <c r="F8" s="2507"/>
      <c r="G8" s="2507"/>
      <c r="H8" s="2507"/>
      <c r="I8" s="2527"/>
      <c r="J8" s="2527"/>
      <c r="K8" s="2504" t="e">
        <f>S4&amp;".1"</f>
        <v>#N/A</v>
      </c>
      <c r="L8" s="1287"/>
      <c r="P8" s="2505"/>
      <c r="Q8" s="2505"/>
      <c r="R8" s="2570">
        <v>1</v>
      </c>
      <c r="S8" s="2564" t="e">
        <f>$K8</f>
        <v>#N/A</v>
      </c>
      <c r="T8" s="2585"/>
      <c r="U8" s="237"/>
      <c r="V8" s="686"/>
      <c r="W8" s="1180"/>
      <c r="X8" s="686"/>
      <c r="Y8" s="1180"/>
      <c r="Z8" s="1655"/>
      <c r="AA8" s="1392" t="s">
        <v>63</v>
      </c>
      <c r="AB8" s="1655"/>
      <c r="AC8" s="1392" t="s">
        <v>63</v>
      </c>
      <c r="AD8" s="2445" t="s">
        <v>63</v>
      </c>
      <c r="AE8" s="2549"/>
      <c r="AF8" s="2462">
        <v>1</v>
      </c>
      <c r="AG8" s="2588"/>
      <c r="AH8" s="2360" t="s">
        <v>63</v>
      </c>
      <c r="AI8" s="2549"/>
      <c r="AJ8" s="2462">
        <v>1</v>
      </c>
      <c r="AK8" s="2550" t="s">
        <v>22</v>
      </c>
      <c r="AL8" s="2360" t="s">
        <v>63</v>
      </c>
      <c r="AM8" s="2452"/>
      <c r="AN8" s="2462">
        <v>1</v>
      </c>
      <c r="AO8" s="2582"/>
      <c r="AP8" s="2583" t="s">
        <v>63</v>
      </c>
      <c r="AQ8" s="248"/>
      <c r="AR8" s="1409">
        <v>1</v>
      </c>
      <c r="AS8" s="1415" t="s">
        <v>22</v>
      </c>
      <c r="AT8" s="686"/>
      <c r="AU8" s="1180"/>
      <c r="AV8" s="686"/>
      <c r="AW8" s="1180"/>
      <c r="AX8" s="1655"/>
      <c r="AY8" s="1392" t="s">
        <v>63</v>
      </c>
      <c r="AZ8" s="1655"/>
      <c r="BA8" s="1392" t="s">
        <v>63</v>
      </c>
      <c r="BB8" s="1271"/>
      <c r="BC8" s="2501" t="s">
        <v>516</v>
      </c>
      <c r="BE8" s="436"/>
      <c r="BF8" s="436" t="str">
        <f t="shared" si="0"/>
        <v/>
      </c>
      <c r="BG8" s="436"/>
      <c r="BH8" s="436"/>
      <c r="BI8" s="1078">
        <v>0</v>
      </c>
    </row>
    <row r="9" spans="1:61" ht="11.25" hidden="1" customHeight="1">
      <c r="A9" s="1286"/>
      <c r="B9" s="1286"/>
      <c r="C9" s="1286"/>
      <c r="D9" s="1286"/>
      <c r="E9" s="2507"/>
      <c r="F9" s="2507"/>
      <c r="G9" s="2507"/>
      <c r="H9" s="2507"/>
      <c r="I9" s="2527"/>
      <c r="J9" s="2527"/>
      <c r="K9" s="2504"/>
      <c r="L9" s="1287"/>
      <c r="P9" s="2505"/>
      <c r="Q9" s="2505"/>
      <c r="R9" s="2570"/>
      <c r="S9" s="2565"/>
      <c r="T9" s="2586"/>
      <c r="U9" s="237"/>
      <c r="V9" s="1316"/>
      <c r="W9" s="1419"/>
      <c r="X9" s="1316"/>
      <c r="Y9" s="1419"/>
      <c r="Z9" s="1316"/>
      <c r="AA9" s="1316"/>
      <c r="AB9" s="1316"/>
      <c r="AC9" s="1316"/>
      <c r="AD9" s="2446"/>
      <c r="AE9" s="2549"/>
      <c r="AF9" s="2462"/>
      <c r="AG9" s="2588"/>
      <c r="AH9" s="2360"/>
      <c r="AI9" s="2549"/>
      <c r="AJ9" s="2462"/>
      <c r="AK9" s="2550"/>
      <c r="AL9" s="2360"/>
      <c r="AM9" s="2457"/>
      <c r="AN9" s="2462"/>
      <c r="AO9" s="2582"/>
      <c r="AP9" s="2584"/>
      <c r="AQ9" s="253"/>
      <c r="AR9" s="352"/>
      <c r="AS9" s="352" t="s">
        <v>517</v>
      </c>
      <c r="AT9" s="1316"/>
      <c r="AU9" s="1419"/>
      <c r="AV9" s="1316"/>
      <c r="AW9" s="1419"/>
      <c r="AX9" s="1316"/>
      <c r="AY9" s="1316"/>
      <c r="AZ9" s="1316"/>
      <c r="BA9" s="1316"/>
      <c r="BB9" s="1320"/>
      <c r="BC9" s="2502"/>
      <c r="BE9" s="436"/>
      <c r="BF9" s="436"/>
      <c r="BG9" s="436"/>
      <c r="BH9" s="436"/>
      <c r="BI9" s="1078">
        <v>0</v>
      </c>
    </row>
    <row r="10" spans="1:61" ht="11.25" hidden="1" customHeight="1">
      <c r="A10" s="1286"/>
      <c r="B10" s="1286"/>
      <c r="C10" s="1286"/>
      <c r="D10" s="1286"/>
      <c r="E10" s="2507"/>
      <c r="F10" s="2507"/>
      <c r="G10" s="2507"/>
      <c r="H10" s="2507"/>
      <c r="I10" s="2527"/>
      <c r="J10" s="2527"/>
      <c r="K10" s="2504"/>
      <c r="L10" s="1287"/>
      <c r="P10" s="2505"/>
      <c r="Q10" s="2505"/>
      <c r="R10" s="2570"/>
      <c r="S10" s="2565"/>
      <c r="T10" s="2586"/>
      <c r="U10" s="237"/>
      <c r="V10" s="1316"/>
      <c r="W10" s="1419"/>
      <c r="X10" s="1316"/>
      <c r="Y10" s="1419"/>
      <c r="Z10" s="1316"/>
      <c r="AA10" s="1316"/>
      <c r="AB10" s="1316"/>
      <c r="AC10" s="1316"/>
      <c r="AD10" s="2446"/>
      <c r="AE10" s="2549"/>
      <c r="AF10" s="2462"/>
      <c r="AG10" s="2588"/>
      <c r="AH10" s="2360"/>
      <c r="AI10" s="2549"/>
      <c r="AJ10" s="2462"/>
      <c r="AK10" s="2550"/>
      <c r="AL10" s="2360"/>
      <c r="AM10" s="253"/>
      <c r="AN10" s="1423"/>
      <c r="AO10" s="1423" t="s">
        <v>539</v>
      </c>
      <c r="AP10" s="352"/>
      <c r="AQ10" s="352"/>
      <c r="AR10" s="352"/>
      <c r="AS10" s="1316"/>
      <c r="AT10" s="1316"/>
      <c r="AU10" s="1419"/>
      <c r="AV10" s="1316"/>
      <c r="AW10" s="1419"/>
      <c r="AX10" s="1316"/>
      <c r="AY10" s="1316"/>
      <c r="AZ10" s="1316"/>
      <c r="BA10" s="1316"/>
      <c r="BB10" s="1320"/>
      <c r="BC10" s="2502"/>
      <c r="BE10" s="436"/>
      <c r="BF10" s="436"/>
      <c r="BG10" s="436"/>
      <c r="BH10" s="436"/>
      <c r="BI10" s="1078">
        <v>0</v>
      </c>
    </row>
    <row r="11" spans="1:61" ht="11.25" hidden="1" customHeight="1">
      <c r="A11" s="1286"/>
      <c r="B11" s="1286"/>
      <c r="C11" s="1286"/>
      <c r="D11" s="1286"/>
      <c r="E11" s="2507"/>
      <c r="F11" s="2507"/>
      <c r="G11" s="2507"/>
      <c r="H11" s="2507"/>
      <c r="I11" s="2527"/>
      <c r="J11" s="2527"/>
      <c r="K11" s="2504"/>
      <c r="L11" s="1287"/>
      <c r="P11" s="2505"/>
      <c r="Q11" s="2505"/>
      <c r="R11" s="2570"/>
      <c r="S11" s="2565"/>
      <c r="T11" s="2586"/>
      <c r="U11" s="237"/>
      <c r="V11" s="1316"/>
      <c r="W11" s="1419"/>
      <c r="X11" s="1316"/>
      <c r="Y11" s="1419"/>
      <c r="Z11" s="1316"/>
      <c r="AA11" s="1316"/>
      <c r="AB11" s="1316"/>
      <c r="AC11" s="1316"/>
      <c r="AD11" s="2446"/>
      <c r="AE11" s="2549"/>
      <c r="AF11" s="2462"/>
      <c r="AG11" s="2588"/>
      <c r="AH11" s="2360"/>
      <c r="AI11" s="231"/>
      <c r="AJ11" s="351"/>
      <c r="AK11" s="250" t="s">
        <v>540</v>
      </c>
      <c r="AL11" s="1316"/>
      <c r="AM11" s="1316"/>
      <c r="AN11" s="1316"/>
      <c r="AO11" s="1316"/>
      <c r="AP11" s="1316"/>
      <c r="AQ11" s="1316"/>
      <c r="AR11" s="1316"/>
      <c r="AS11" s="1316"/>
      <c r="AT11" s="1316"/>
      <c r="AU11" s="1419"/>
      <c r="AV11" s="1316"/>
      <c r="AW11" s="1419"/>
      <c r="AX11" s="1316"/>
      <c r="AY11" s="1316"/>
      <c r="AZ11" s="1316"/>
      <c r="BA11" s="1316"/>
      <c r="BB11" s="1320"/>
      <c r="BC11" s="2502"/>
      <c r="BE11" s="436"/>
      <c r="BF11" s="436"/>
      <c r="BG11" s="436"/>
      <c r="BH11" s="436"/>
      <c r="BI11" s="1078">
        <v>0</v>
      </c>
    </row>
    <row r="12" spans="1:61" ht="11.25" hidden="1" customHeight="1">
      <c r="A12" s="1286"/>
      <c r="B12" s="1286"/>
      <c r="C12" s="1286"/>
      <c r="D12" s="1286"/>
      <c r="E12" s="2507"/>
      <c r="F12" s="2507"/>
      <c r="G12" s="2507"/>
      <c r="H12" s="2507"/>
      <c r="I12" s="2527"/>
      <c r="J12" s="2527"/>
      <c r="K12" s="2504"/>
      <c r="L12" s="1287"/>
      <c r="P12" s="2505"/>
      <c r="Q12" s="2505"/>
      <c r="R12" s="2570"/>
      <c r="S12" s="2566"/>
      <c r="T12" s="2587"/>
      <c r="U12" s="237"/>
      <c r="V12" s="1316"/>
      <c r="W12" s="1317" t="str">
        <f>Z8&amp;"-"&amp;AB8</f>
        <v>-</v>
      </c>
      <c r="X12" s="1316"/>
      <c r="Y12" s="1317" t="str">
        <f>AB8&amp;"-"&amp;AD8</f>
        <v>-да</v>
      </c>
      <c r="Z12" s="1316"/>
      <c r="AA12" s="1316"/>
      <c r="AB12" s="1316"/>
      <c r="AC12" s="1316"/>
      <c r="AD12" s="2375"/>
      <c r="AE12" s="249"/>
      <c r="AF12" s="251"/>
      <c r="AG12" s="352" t="s">
        <v>520</v>
      </c>
      <c r="AH12" s="1316"/>
      <c r="AI12" s="1316"/>
      <c r="AJ12" s="1316"/>
      <c r="AK12" s="1316"/>
      <c r="AL12" s="1316"/>
      <c r="AM12" s="1316"/>
      <c r="AN12" s="1316"/>
      <c r="AO12" s="1316"/>
      <c r="AP12" s="1316"/>
      <c r="AQ12" s="1316"/>
      <c r="AR12" s="1316"/>
      <c r="AS12" s="1316"/>
      <c r="AT12" s="1316"/>
      <c r="AU12" s="1317" t="str">
        <f>AX8&amp;"-"&amp;AZ8</f>
        <v>-</v>
      </c>
      <c r="AV12" s="1316"/>
      <c r="AW12" s="1317" t="str">
        <f>AZ8&amp;"-"&amp;BB8</f>
        <v>-</v>
      </c>
      <c r="AX12" s="1316"/>
      <c r="AY12" s="1316"/>
      <c r="AZ12" s="1316"/>
      <c r="BA12" s="1316"/>
      <c r="BB12" s="1319" t="str">
        <f>BE8&amp;"-"&amp;BG8</f>
        <v>-</v>
      </c>
      <c r="BC12" s="2502"/>
      <c r="BE12" s="436"/>
      <c r="BF12" s="436" t="str">
        <f t="shared" ref="BF12:BF18" si="1">IF(T12="","",T12)</f>
        <v/>
      </c>
      <c r="BG12" s="436"/>
      <c r="BH12" s="436"/>
      <c r="BI12" s="1078">
        <v>0</v>
      </c>
    </row>
    <row r="13" spans="1:61" ht="11.25" hidden="1" customHeight="1">
      <c r="A13" s="1286"/>
      <c r="B13" s="1286"/>
      <c r="C13" s="1286"/>
      <c r="D13" s="1286"/>
      <c r="E13" s="2507"/>
      <c r="F13" s="2507"/>
      <c r="G13" s="2507"/>
      <c r="H13" s="2507"/>
      <c r="I13" s="2527"/>
      <c r="J13" s="2504"/>
      <c r="K13" s="1286"/>
      <c r="L13" s="1287"/>
      <c r="P13" s="2505"/>
      <c r="Q13" s="2505"/>
      <c r="R13" s="292"/>
      <c r="S13" s="1201"/>
      <c r="T13" s="224" t="s">
        <v>483</v>
      </c>
      <c r="U13" s="303"/>
      <c r="V13" s="303"/>
      <c r="W13" s="303"/>
      <c r="X13" s="303"/>
      <c r="Y13" s="303"/>
      <c r="Z13" s="303"/>
      <c r="AA13" s="303"/>
      <c r="AB13" s="303"/>
      <c r="AC13" s="303"/>
      <c r="AD13" s="1428"/>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503"/>
      <c r="BE13" s="436"/>
      <c r="BF13" s="436" t="str">
        <f t="shared" si="1"/>
        <v>Добавить строку</v>
      </c>
      <c r="BG13" s="436"/>
      <c r="BH13" s="436"/>
      <c r="BI13" s="1078">
        <v>0</v>
      </c>
    </row>
    <row r="14" spans="1:61" s="1565" customFormat="1" ht="14.25" hidden="1" customHeight="1">
      <c r="A14" s="1266"/>
      <c r="B14" s="1266"/>
      <c r="C14" s="1266"/>
      <c r="D14" s="1266"/>
      <c r="E14" s="2507"/>
      <c r="F14" s="2507"/>
      <c r="G14" s="2507"/>
      <c r="H14" s="2507"/>
      <c r="I14" s="2504"/>
      <c r="J14" s="1266"/>
      <c r="K14" s="1266"/>
      <c r="L14" s="1269"/>
      <c r="M14" s="446"/>
      <c r="N14" s="446"/>
      <c r="O14" s="446"/>
      <c r="P14" s="2505"/>
      <c r="Q14" s="1404"/>
      <c r="R14" s="292"/>
      <c r="S14" s="1309"/>
      <c r="T14" s="1310"/>
      <c r="U14" s="1311"/>
      <c r="V14" s="1311"/>
      <c r="W14" s="1311"/>
      <c r="X14" s="1311"/>
      <c r="Y14" s="1311"/>
      <c r="Z14" s="1311"/>
      <c r="AA14" s="1311"/>
      <c r="AB14" s="1311"/>
      <c r="AC14" s="1311"/>
      <c r="AD14" s="1311"/>
      <c r="AE14" s="1311"/>
      <c r="AF14" s="1311"/>
      <c r="AG14" s="1311"/>
      <c r="AH14" s="1311"/>
      <c r="AI14" s="1311"/>
      <c r="AJ14" s="1311"/>
      <c r="AK14" s="1311"/>
      <c r="AL14" s="1311"/>
      <c r="AM14" s="1311"/>
      <c r="AN14" s="1311"/>
      <c r="AO14" s="1311"/>
      <c r="AP14" s="1311"/>
      <c r="AQ14" s="1311"/>
      <c r="AR14" s="1311"/>
      <c r="AS14" s="1311"/>
      <c r="AT14" s="1311"/>
      <c r="AU14" s="1311"/>
      <c r="AV14" s="1311"/>
      <c r="AW14" s="1311"/>
      <c r="AX14" s="1311"/>
      <c r="AY14" s="1311"/>
      <c r="AZ14" s="1311"/>
      <c r="BA14" s="1311"/>
      <c r="BB14" s="1311"/>
      <c r="BC14" s="1312"/>
      <c r="BE14" s="436"/>
      <c r="BF14" s="436" t="str">
        <f t="shared" si="1"/>
        <v/>
      </c>
      <c r="BG14" s="436"/>
      <c r="BH14" s="436"/>
      <c r="BI14" s="447">
        <v>0</v>
      </c>
    </row>
    <row r="15" spans="1:61" s="1565" customFormat="1" ht="14.25" hidden="1" customHeight="1">
      <c r="A15" s="1266"/>
      <c r="B15" s="1266"/>
      <c r="C15" s="1266"/>
      <c r="D15" s="1266"/>
      <c r="E15" s="2507"/>
      <c r="F15" s="2507"/>
      <c r="G15" s="2507"/>
      <c r="H15" s="2506"/>
      <c r="I15" s="1266"/>
      <c r="J15" s="1266"/>
      <c r="K15" s="1266"/>
      <c r="L15" s="1269"/>
      <c r="M15" s="1238"/>
      <c r="N15" s="1238"/>
      <c r="O15" s="454"/>
      <c r="P15" s="316"/>
      <c r="Q15" s="1267"/>
      <c r="R15" s="1324"/>
      <c r="S15" s="1309"/>
      <c r="T15" s="1310"/>
      <c r="U15" s="1311"/>
      <c r="V15" s="1311"/>
      <c r="W15" s="1311"/>
      <c r="X15" s="1311"/>
      <c r="Y15" s="1311"/>
      <c r="Z15" s="1311"/>
      <c r="AA15" s="1311"/>
      <c r="AB15" s="1311"/>
      <c r="AC15" s="1311"/>
      <c r="AD15" s="1311"/>
      <c r="AE15" s="1311"/>
      <c r="AF15" s="1311"/>
      <c r="AG15" s="1311"/>
      <c r="AH15" s="1311"/>
      <c r="AI15" s="1311"/>
      <c r="AJ15" s="1311"/>
      <c r="AK15" s="1311"/>
      <c r="AL15" s="1311"/>
      <c r="AM15" s="1311"/>
      <c r="AN15" s="1311"/>
      <c r="AO15" s="1311"/>
      <c r="AP15" s="1311"/>
      <c r="AQ15" s="1311"/>
      <c r="AR15" s="1311"/>
      <c r="AS15" s="1311"/>
      <c r="AT15" s="1311"/>
      <c r="AU15" s="1311"/>
      <c r="AV15" s="1311"/>
      <c r="AW15" s="1311"/>
      <c r="AX15" s="1311"/>
      <c r="AY15" s="1311"/>
      <c r="AZ15" s="1311"/>
      <c r="BA15" s="1311"/>
      <c r="BB15" s="1311"/>
      <c r="BC15" s="1312"/>
      <c r="BE15" s="436"/>
      <c r="BF15" s="436" t="str">
        <f t="shared" si="1"/>
        <v/>
      </c>
      <c r="BG15" s="436"/>
      <c r="BH15" s="436"/>
      <c r="BI15" s="447">
        <v>0</v>
      </c>
    </row>
    <row r="16" spans="1:61" s="1565" customFormat="1" ht="14.25" hidden="1" customHeight="1">
      <c r="A16" s="1266"/>
      <c r="B16" s="1266"/>
      <c r="C16" s="1266"/>
      <c r="D16" s="1237"/>
      <c r="E16" s="2507"/>
      <c r="F16" s="2507"/>
      <c r="G16" s="2506"/>
      <c r="H16" s="1237"/>
      <c r="I16" s="1237"/>
      <c r="J16" s="1237"/>
      <c r="K16" s="1237"/>
      <c r="L16" s="1417"/>
      <c r="M16" s="1238"/>
      <c r="N16" s="1238"/>
      <c r="P16" s="1239"/>
      <c r="Q16" s="1240"/>
      <c r="R16" s="1239"/>
      <c r="S16" s="1245"/>
      <c r="T16" s="1248"/>
      <c r="U16" s="1247"/>
      <c r="V16" s="1247"/>
      <c r="W16" s="1247"/>
      <c r="X16" s="1247"/>
      <c r="Y16" s="1247"/>
      <c r="Z16" s="1247"/>
      <c r="AA16" s="1247"/>
      <c r="AB16" s="1247"/>
      <c r="AC16" s="1247"/>
      <c r="AD16" s="1247"/>
      <c r="AE16" s="1247"/>
      <c r="AF16" s="1247"/>
      <c r="AG16" s="1247"/>
      <c r="AH16" s="1247"/>
      <c r="AI16" s="1247"/>
      <c r="AJ16" s="1247"/>
      <c r="AK16" s="1247"/>
      <c r="AL16" s="1247"/>
      <c r="AM16" s="1247"/>
      <c r="AN16" s="1247"/>
      <c r="AO16" s="1247"/>
      <c r="AP16" s="1247"/>
      <c r="AQ16" s="1247"/>
      <c r="AR16" s="1247"/>
      <c r="AS16" s="1247"/>
      <c r="AT16" s="1247"/>
      <c r="AU16" s="1247"/>
      <c r="AV16" s="1247"/>
      <c r="AW16" s="1247"/>
      <c r="AX16" s="1247"/>
      <c r="AY16" s="1247"/>
      <c r="AZ16" s="1247"/>
      <c r="BA16" s="1247"/>
      <c r="BB16" s="1247"/>
      <c r="BC16" s="1247"/>
      <c r="BE16" s="718"/>
      <c r="BF16" s="718" t="str">
        <f t="shared" si="1"/>
        <v/>
      </c>
      <c r="BG16" s="718"/>
      <c r="BH16" s="718"/>
      <c r="BI16" s="454">
        <v>0</v>
      </c>
    </row>
    <row r="17" spans="1:61" s="1565" customFormat="1" ht="14.25" hidden="1" customHeight="1">
      <c r="A17" s="1266"/>
      <c r="B17" s="1266"/>
      <c r="C17" s="1237"/>
      <c r="D17" s="1237"/>
      <c r="E17" s="2507"/>
      <c r="F17" s="2506"/>
      <c r="G17" s="1237"/>
      <c r="H17" s="1237"/>
      <c r="I17" s="1237"/>
      <c r="J17" s="1237"/>
      <c r="K17" s="1237"/>
      <c r="L17" s="1417"/>
      <c r="M17" s="1244"/>
      <c r="N17" s="1244"/>
      <c r="P17" s="1239"/>
      <c r="Q17" s="1240"/>
      <c r="R17" s="1239"/>
      <c r="S17" s="1245"/>
      <c r="T17" s="1248" t="s">
        <v>434</v>
      </c>
      <c r="U17" s="1247"/>
      <c r="V17" s="1247"/>
      <c r="W17" s="1247"/>
      <c r="X17" s="1247"/>
      <c r="Y17" s="1247"/>
      <c r="Z17" s="1247"/>
      <c r="AA17" s="1247"/>
      <c r="AB17" s="1247"/>
      <c r="AC17" s="1247"/>
      <c r="AD17" s="1247"/>
      <c r="AE17" s="1247"/>
      <c r="AF17" s="1247"/>
      <c r="AG17" s="1247"/>
      <c r="AH17" s="1247"/>
      <c r="AI17" s="1247"/>
      <c r="AJ17" s="1247"/>
      <c r="AK17" s="1247"/>
      <c r="AL17" s="1247"/>
      <c r="AM17" s="1247"/>
      <c r="AN17" s="1247"/>
      <c r="AO17" s="1247"/>
      <c r="AP17" s="1247"/>
      <c r="AQ17" s="1247"/>
      <c r="AR17" s="1247"/>
      <c r="AS17" s="1247"/>
      <c r="AT17" s="1247"/>
      <c r="AU17" s="1247"/>
      <c r="AV17" s="1247"/>
      <c r="AW17" s="1247"/>
      <c r="AX17" s="1247"/>
      <c r="AY17" s="1247"/>
      <c r="AZ17" s="1247"/>
      <c r="BA17" s="1247"/>
      <c r="BB17" s="1247"/>
      <c r="BC17" s="1247"/>
      <c r="BE17" s="718"/>
      <c r="BF17" s="718" t="str">
        <f t="shared" si="1"/>
        <v>Добавить централизованную систему для дифференциации</v>
      </c>
      <c r="BG17" s="718"/>
      <c r="BH17" s="718"/>
      <c r="BI17" s="454">
        <v>0</v>
      </c>
    </row>
    <row r="18" spans="1:61" s="1565" customFormat="1" ht="14.25" hidden="1" customHeight="1">
      <c r="A18" s="1266"/>
      <c r="B18" s="1266"/>
      <c r="C18" s="1266"/>
      <c r="D18" s="1266"/>
      <c r="E18" s="2506"/>
      <c r="F18" s="1266"/>
      <c r="G18" s="1266"/>
      <c r="H18" s="1266"/>
      <c r="I18" s="1266"/>
      <c r="J18" s="1266"/>
      <c r="K18" s="1266"/>
      <c r="L18" s="1269"/>
      <c r="M18" s="1244"/>
      <c r="N18" s="1244"/>
      <c r="O18" s="454"/>
      <c r="P18" s="316"/>
      <c r="Q18" s="1267"/>
      <c r="R18" s="316"/>
      <c r="S18" s="1245"/>
      <c r="T18" s="1248" t="s">
        <v>435</v>
      </c>
      <c r="U18" s="1247"/>
      <c r="V18" s="1247"/>
      <c r="W18" s="1247"/>
      <c r="X18" s="1247"/>
      <c r="Y18" s="1247"/>
      <c r="Z18" s="1247"/>
      <c r="AA18" s="1247"/>
      <c r="AB18" s="1247"/>
      <c r="AC18" s="1247"/>
      <c r="AD18" s="1247"/>
      <c r="AE18" s="1247"/>
      <c r="AF18" s="1247"/>
      <c r="AG18" s="1247"/>
      <c r="AH18" s="1247"/>
      <c r="AI18" s="1247"/>
      <c r="AJ18" s="1247"/>
      <c r="AK18" s="1247"/>
      <c r="AL18" s="1247"/>
      <c r="AM18" s="1247"/>
      <c r="AN18" s="1247"/>
      <c r="AO18" s="1247"/>
      <c r="AP18" s="1247"/>
      <c r="AQ18" s="1247"/>
      <c r="AR18" s="1247"/>
      <c r="AS18" s="1247"/>
      <c r="AT18" s="1247"/>
      <c r="AU18" s="1247"/>
      <c r="AV18" s="1247"/>
      <c r="AW18" s="1247"/>
      <c r="AX18" s="1247"/>
      <c r="AY18" s="1247"/>
      <c r="AZ18" s="1247"/>
      <c r="BA18" s="1247"/>
      <c r="BB18" s="1247"/>
      <c r="BC18" s="1247"/>
      <c r="BE18" s="436"/>
      <c r="BF18" s="436" t="str">
        <f t="shared" si="1"/>
        <v>Добавить территорию для дифференциации</v>
      </c>
      <c r="BG18" s="436"/>
      <c r="BH18" s="436"/>
      <c r="BI18" s="447">
        <v>0</v>
      </c>
    </row>
    <row r="19" spans="1:61" ht="14.25" hidden="1" customHeight="1">
      <c r="AC19" s="264"/>
      <c r="BA19" s="264"/>
      <c r="BI19" s="1078">
        <v>0</v>
      </c>
    </row>
    <row r="20" spans="1:61" ht="14.25" hidden="1" customHeight="1">
      <c r="AD20" s="1247" t="s">
        <v>19</v>
      </c>
      <c r="AE20" s="1424"/>
      <c r="AF20" s="484">
        <v>1</v>
      </c>
      <c r="AG20" s="1425"/>
      <c r="AH20" s="1247" t="s">
        <v>19</v>
      </c>
      <c r="AI20" s="1424"/>
      <c r="AJ20" s="484">
        <v>1</v>
      </c>
      <c r="AK20" s="1425"/>
      <c r="AL20" s="1247" t="s">
        <v>19</v>
      </c>
      <c r="AM20" s="1426"/>
      <c r="AN20" s="484">
        <v>1</v>
      </c>
      <c r="AO20" s="1427"/>
      <c r="AP20" s="1247" t="s">
        <v>19</v>
      </c>
      <c r="AQ20" s="1426"/>
      <c r="AR20" s="484">
        <v>1</v>
      </c>
      <c r="AS20" s="1427"/>
      <c r="AT20" s="262"/>
      <c r="AU20" s="320"/>
      <c r="AV20" s="262"/>
      <c r="AW20" s="320"/>
      <c r="AX20" s="1657"/>
      <c r="AY20" s="1408" t="s">
        <v>63</v>
      </c>
      <c r="AZ20" s="1657"/>
      <c r="BA20" s="1408" t="s">
        <v>63</v>
      </c>
      <c r="BI20" s="1078">
        <v>0</v>
      </c>
    </row>
    <row r="21" spans="1:61" ht="14.25" hidden="1" customHeight="1">
      <c r="BD21" s="432"/>
      <c r="BE21" s="432"/>
      <c r="BF21" s="432"/>
      <c r="BG21" s="432"/>
      <c r="BH21" s="432"/>
      <c r="BI21" s="1078">
        <v>0</v>
      </c>
    </row>
    <row r="22" spans="1:61" ht="14.25" hidden="1" customHeight="1">
      <c r="O22" s="1290" t="s">
        <v>436</v>
      </c>
      <c r="Z22" s="1268"/>
      <c r="AB22" s="1268"/>
      <c r="AC22" s="264"/>
      <c r="AX22" s="1268"/>
      <c r="AZ22" s="1268"/>
      <c r="BA22" s="264"/>
      <c r="BD22" s="432"/>
      <c r="BE22" s="432"/>
      <c r="BF22" s="432"/>
      <c r="BG22" s="432"/>
      <c r="BH22" s="432"/>
      <c r="BI22" s="1078">
        <v>0</v>
      </c>
    </row>
    <row r="23" spans="1:61" ht="14.25" hidden="1" customHeight="1">
      <c r="AC23" s="264"/>
      <c r="BA23" s="264"/>
      <c r="BD23" s="432"/>
      <c r="BE23" s="432"/>
      <c r="BF23" s="432"/>
      <c r="BG23" s="432"/>
      <c r="BH23" s="432"/>
      <c r="BI23" s="1078">
        <v>0</v>
      </c>
    </row>
    <row r="24" spans="1:61" s="1432" customFormat="1" ht="14.25" hidden="1" customHeight="1">
      <c r="M24" s="1431"/>
      <c r="N24" s="1431"/>
      <c r="O24" s="1432" t="s">
        <v>437</v>
      </c>
      <c r="P24" s="1431"/>
      <c r="Q24" s="1433"/>
      <c r="R24" s="1433"/>
      <c r="AA24" s="1430" t="s">
        <v>439</v>
      </c>
      <c r="AC24" s="1430" t="s">
        <v>440</v>
      </c>
      <c r="AD24" s="1430" t="s">
        <v>484</v>
      </c>
      <c r="AH24" s="1430" t="s">
        <v>484</v>
      </c>
      <c r="AK24" s="1430" t="s">
        <v>521</v>
      </c>
      <c r="AL24" s="1430" t="s">
        <v>484</v>
      </c>
      <c r="AP24" s="1430" t="s">
        <v>484</v>
      </c>
      <c r="AY24" s="1430" t="s">
        <v>439</v>
      </c>
      <c r="BA24" s="1430" t="s">
        <v>440</v>
      </c>
      <c r="BD24" s="1434"/>
      <c r="BE24" s="1434"/>
      <c r="BF24" s="1434"/>
      <c r="BG24" s="1434"/>
      <c r="BH24" s="1434"/>
      <c r="BI24" s="1430">
        <v>0</v>
      </c>
    </row>
    <row r="25" spans="1:61" ht="14.25" hidden="1" customHeight="1">
      <c r="O25" s="1287"/>
      <c r="BD25" s="432"/>
      <c r="BE25" s="432"/>
      <c r="BF25" s="432"/>
      <c r="BG25" s="432"/>
      <c r="BH25" s="432"/>
      <c r="BI25" s="1078">
        <v>0</v>
      </c>
    </row>
    <row r="26" spans="1:61" ht="14.25" hidden="1" customHeight="1">
      <c r="O26" s="1287"/>
      <c r="BD26" s="432"/>
      <c r="BE26" s="432"/>
      <c r="BF26" s="432"/>
      <c r="BG26" s="432"/>
      <c r="BH26" s="432"/>
      <c r="BI26" s="1078">
        <v>0</v>
      </c>
    </row>
    <row r="27" spans="1:61" ht="14.65" customHeight="1">
      <c r="Q27" s="228"/>
      <c r="R27" s="312"/>
      <c r="S27" s="1198"/>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78">
        <v>14</v>
      </c>
    </row>
    <row r="28" spans="1:61" ht="14.65" customHeight="1">
      <c r="Q28" s="228"/>
      <c r="R28" s="312"/>
      <c r="S28" s="249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490"/>
      <c r="U28" s="2490"/>
      <c r="V28" s="2490"/>
      <c r="W28" s="2490"/>
      <c r="X28" s="2490"/>
      <c r="Y28" s="2490"/>
      <c r="Z28" s="2490"/>
      <c r="AA28" s="2490"/>
      <c r="AB28" s="2490"/>
      <c r="AC28" s="2490"/>
      <c r="AD28" s="2490"/>
      <c r="AE28" s="2490"/>
      <c r="AF28" s="2490"/>
      <c r="AG28" s="2490"/>
      <c r="AH28" s="2490"/>
      <c r="AI28" s="2490"/>
      <c r="AJ28" s="2490"/>
      <c r="AK28" s="2490"/>
      <c r="AL28" s="2490"/>
      <c r="AM28" s="2490"/>
      <c r="AN28" s="2490"/>
      <c r="AO28" s="2490"/>
      <c r="AP28" s="2490"/>
      <c r="AQ28" s="2490"/>
      <c r="AR28" s="2490"/>
      <c r="AS28" s="2490"/>
      <c r="AT28" s="2490"/>
      <c r="AU28" s="2490"/>
      <c r="AV28" s="2490"/>
      <c r="AW28" s="2490"/>
      <c r="AX28" s="2490"/>
      <c r="AY28" s="2490"/>
      <c r="AZ28" s="2490"/>
      <c r="BA28" s="1166"/>
      <c r="BI28" s="1078">
        <v>14</v>
      </c>
    </row>
    <row r="29" spans="1:61" ht="14.65" customHeight="1">
      <c r="Q29" s="228"/>
      <c r="R29" s="312"/>
      <c r="S29" s="2436" t="str">
        <f>IF(org=0,"Не определено",org)</f>
        <v>ПАО "ТГК-2"</v>
      </c>
      <c r="T29" s="2436"/>
      <c r="U29" s="2436"/>
      <c r="V29" s="2436"/>
      <c r="W29" s="2436"/>
      <c r="X29" s="2436"/>
      <c r="Y29" s="2436"/>
      <c r="Z29" s="2436"/>
      <c r="AA29" s="2436"/>
      <c r="AB29" s="2436"/>
      <c r="AC29" s="2436"/>
      <c r="AD29" s="2436"/>
      <c r="AE29" s="2436"/>
      <c r="AF29" s="2436"/>
      <c r="AG29" s="2436"/>
      <c r="AH29" s="2436"/>
      <c r="AI29" s="2436"/>
      <c r="AJ29" s="2436"/>
      <c r="AK29" s="2436"/>
      <c r="AL29" s="2436"/>
      <c r="AM29" s="2436"/>
      <c r="AN29" s="2436"/>
      <c r="AO29" s="2436"/>
      <c r="AP29" s="2436"/>
      <c r="AQ29" s="2436"/>
      <c r="AR29" s="2436"/>
      <c r="AS29" s="2436"/>
      <c r="AT29" s="2436"/>
      <c r="AU29" s="2436"/>
      <c r="AV29" s="2436"/>
      <c r="AW29" s="2436"/>
      <c r="AX29" s="2436"/>
      <c r="AY29" s="2436"/>
      <c r="AZ29" s="2436"/>
      <c r="BA29" s="1166"/>
      <c r="BI29" s="1078">
        <v>14</v>
      </c>
    </row>
    <row r="30" spans="1:61" ht="14.25" hidden="1" customHeight="1">
      <c r="Q30" s="228"/>
      <c r="R30" s="312"/>
      <c r="S30" s="1198"/>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78">
        <v>0</v>
      </c>
    </row>
    <row r="31" spans="1:61" s="1770" customFormat="1" ht="25.5" hidden="1" customHeight="1">
      <c r="A31" s="1291"/>
      <c r="B31" s="1291"/>
      <c r="C31" s="1291"/>
      <c r="D31" s="1291"/>
      <c r="E31" s="1291"/>
      <c r="F31" s="1291"/>
      <c r="G31" s="1291"/>
      <c r="H31" s="1291"/>
      <c r="I31" s="1291"/>
      <c r="J31" s="1291"/>
      <c r="K31" s="1291"/>
      <c r="L31" s="1292"/>
      <c r="M31" s="1291"/>
      <c r="N31" s="1291"/>
      <c r="O31" s="1291"/>
      <c r="P31" s="1291"/>
      <c r="Q31" s="1291"/>
      <c r="S31" s="249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498"/>
      <c r="U31" s="1295"/>
      <c r="V31" s="2499" t="str">
        <f>IF(TITLE_NAME_OR_PR_CHANGE="",IF(TITLE_NAME_OR_PR="","",TITLE_NAME_OR_PR),TITLE_NAME_OR_PR_CHANGE)</f>
        <v/>
      </c>
      <c r="W31" s="2499"/>
      <c r="X31" s="2499"/>
      <c r="Y31" s="2499"/>
      <c r="Z31" s="2499"/>
      <c r="AA31" s="2499"/>
      <c r="AB31" s="2499"/>
      <c r="AC31" s="263"/>
      <c r="AD31" s="2499" t="str">
        <f>IF(TITLE_NAME_OR_PR_CHANGE="",IF(TITLE_NAME_OR_PR="","",TITLE_NAME_OR_PR),TITLE_NAME_OR_PR_CHANGE)</f>
        <v/>
      </c>
      <c r="AE31" s="2499"/>
      <c r="AF31" s="2499"/>
      <c r="AG31" s="2499"/>
      <c r="AH31" s="2499"/>
      <c r="AI31" s="2499"/>
      <c r="AJ31" s="2499"/>
      <c r="AK31" s="2499"/>
      <c r="AL31" s="2499"/>
      <c r="AM31" s="2499"/>
      <c r="AN31" s="2499"/>
      <c r="AO31" s="2499"/>
      <c r="AP31" s="2499"/>
      <c r="AQ31" s="2499"/>
      <c r="AR31" s="2499"/>
      <c r="AS31" s="2499"/>
      <c r="AT31" s="2499"/>
      <c r="AU31" s="2499"/>
      <c r="AV31" s="2499"/>
      <c r="AW31" s="2499"/>
      <c r="AX31" s="2499"/>
      <c r="AY31" s="2499"/>
      <c r="AZ31" s="2499"/>
      <c r="BA31" s="263"/>
      <c r="BB31" s="263"/>
      <c r="BC31" s="217"/>
      <c r="BD31" s="304"/>
      <c r="BE31" s="304"/>
      <c r="BF31" s="304"/>
      <c r="BG31" s="304"/>
      <c r="BH31" s="304"/>
      <c r="BI31" s="354">
        <v>0</v>
      </c>
    </row>
    <row r="32" spans="1:61" s="1770" customFormat="1" ht="18.75" hidden="1" customHeight="1">
      <c r="A32" s="1291"/>
      <c r="B32" s="1291"/>
      <c r="C32" s="1291"/>
      <c r="D32" s="1291"/>
      <c r="E32" s="1291"/>
      <c r="F32" s="1291"/>
      <c r="G32" s="1291"/>
      <c r="H32" s="1291"/>
      <c r="I32" s="1291"/>
      <c r="J32" s="1291"/>
      <c r="K32" s="1291"/>
      <c r="L32" s="1292"/>
      <c r="M32" s="1291"/>
      <c r="N32" s="1291"/>
      <c r="O32" s="1291"/>
      <c r="P32" s="1291"/>
      <c r="Q32" s="1291"/>
      <c r="S32" s="2498" t="str">
        <f>"Дата документа об "&amp;IF(TITLE_DATE_PR_CHANGE="","утверждении","изменении")&amp;" тарифов"</f>
        <v>Дата документа об утверждении тарифов</v>
      </c>
      <c r="T32" s="2498"/>
      <c r="U32" s="1295"/>
      <c r="V32" s="2508" t="str">
        <f>IF(TITLE_DATE_PR_CHANGE="",IF(TITLE_DATE_PR="","",TITLE_DATE_PR),TITLE_DATE_PR_CHANGE)</f>
        <v/>
      </c>
      <c r="W32" s="2508"/>
      <c r="X32" s="2508"/>
      <c r="Y32" s="2508"/>
      <c r="Z32" s="2508"/>
      <c r="AA32" s="2508"/>
      <c r="AB32" s="2508"/>
      <c r="AC32" s="263"/>
      <c r="AD32" s="2508" t="str">
        <f>IF(TITLE_DATE_PR_CHANGE="",IF(TITLE_DATE_PR="","",TITLE_DATE_PR),TITLE_DATE_PR_CHANGE)</f>
        <v/>
      </c>
      <c r="AE32" s="2508"/>
      <c r="AF32" s="2508"/>
      <c r="AG32" s="2508"/>
      <c r="AH32" s="2508"/>
      <c r="AI32" s="2508"/>
      <c r="AJ32" s="2508"/>
      <c r="AK32" s="2508"/>
      <c r="AL32" s="2508"/>
      <c r="AM32" s="2508"/>
      <c r="AN32" s="2508"/>
      <c r="AO32" s="2508"/>
      <c r="AP32" s="2508"/>
      <c r="AQ32" s="2508"/>
      <c r="AR32" s="2508"/>
      <c r="AS32" s="2508"/>
      <c r="AT32" s="2508"/>
      <c r="AU32" s="2508"/>
      <c r="AV32" s="2508"/>
      <c r="AW32" s="2508"/>
      <c r="AX32" s="2508"/>
      <c r="AY32" s="2508"/>
      <c r="AZ32" s="2508"/>
      <c r="BA32" s="263"/>
      <c r="BB32" s="263"/>
      <c r="BC32" s="217"/>
      <c r="BD32" s="304"/>
      <c r="BE32" s="304"/>
      <c r="BF32" s="304"/>
      <c r="BG32" s="304"/>
      <c r="BH32" s="304"/>
      <c r="BI32" s="354">
        <v>0</v>
      </c>
    </row>
    <row r="33" spans="1:61" s="1770" customFormat="1" ht="18.75" hidden="1" customHeight="1">
      <c r="A33" s="1291"/>
      <c r="B33" s="1291"/>
      <c r="C33" s="1291"/>
      <c r="D33" s="1291"/>
      <c r="E33" s="1291"/>
      <c r="F33" s="1291"/>
      <c r="G33" s="1291"/>
      <c r="H33" s="1291"/>
      <c r="I33" s="1291"/>
      <c r="J33" s="1291"/>
      <c r="K33" s="1291"/>
      <c r="L33" s="1292"/>
      <c r="M33" s="1291"/>
      <c r="N33" s="1291"/>
      <c r="O33" s="1291"/>
      <c r="P33" s="1291"/>
      <c r="Q33" s="1291"/>
      <c r="S33" s="2498" t="str">
        <f>"Номер документа об "&amp;IF(TITLE_DATE_PR_CHANGE="","утверждении","изменении")&amp;" тарифов"</f>
        <v>Номер документа об утверждении тарифов</v>
      </c>
      <c r="T33" s="2498"/>
      <c r="U33" s="1295"/>
      <c r="V33" s="2499" t="str">
        <f>IF(TITLE_NUMBER_PR_CHANGE="",IF(TITLE_NUMBER_PR="","",TITLE_NUMBER_PR),TITLE_NUMBER_PR_CHANGE)</f>
        <v/>
      </c>
      <c r="W33" s="2499"/>
      <c r="X33" s="2499"/>
      <c r="Y33" s="2499"/>
      <c r="Z33" s="2499"/>
      <c r="AA33" s="2499"/>
      <c r="AB33" s="2499"/>
      <c r="AC33" s="263"/>
      <c r="AD33" s="2499" t="str">
        <f>IF(TITLE_NUMBER_PR_CHANGE="",IF(TITLE_NUMBER_PR="","",TITLE_NUMBER_PR),TITLE_NUMBER_PR_CHANGE)</f>
        <v/>
      </c>
      <c r="AE33" s="2499"/>
      <c r="AF33" s="2499"/>
      <c r="AG33" s="2499"/>
      <c r="AH33" s="2499"/>
      <c r="AI33" s="2499"/>
      <c r="AJ33" s="2499"/>
      <c r="AK33" s="2499"/>
      <c r="AL33" s="2499"/>
      <c r="AM33" s="2499"/>
      <c r="AN33" s="2499"/>
      <c r="AO33" s="2499"/>
      <c r="AP33" s="2499"/>
      <c r="AQ33" s="2499"/>
      <c r="AR33" s="2499"/>
      <c r="AS33" s="2499"/>
      <c r="AT33" s="2499"/>
      <c r="AU33" s="2499"/>
      <c r="AV33" s="2499"/>
      <c r="AW33" s="2499"/>
      <c r="AX33" s="2499"/>
      <c r="AY33" s="2499"/>
      <c r="AZ33" s="2499"/>
      <c r="BA33" s="263"/>
      <c r="BB33" s="263"/>
      <c r="BC33" s="217"/>
      <c r="BD33" s="304"/>
      <c r="BE33" s="304"/>
      <c r="BF33" s="304"/>
      <c r="BG33" s="304"/>
      <c r="BH33" s="304"/>
      <c r="BI33" s="354">
        <v>0</v>
      </c>
    </row>
    <row r="34" spans="1:61" s="1770" customFormat="1" ht="18.75" hidden="1" customHeight="1">
      <c r="A34" s="1291"/>
      <c r="B34" s="1291"/>
      <c r="C34" s="1291"/>
      <c r="D34" s="1291"/>
      <c r="E34" s="1291"/>
      <c r="F34" s="1291"/>
      <c r="G34" s="1291"/>
      <c r="H34" s="1291"/>
      <c r="I34" s="1291"/>
      <c r="J34" s="1291"/>
      <c r="K34" s="1291"/>
      <c r="L34" s="1292"/>
      <c r="M34" s="1291"/>
      <c r="N34" s="1291"/>
      <c r="O34" s="1291"/>
      <c r="P34" s="1291"/>
      <c r="Q34" s="1291"/>
      <c r="S34" s="2498" t="s">
        <v>43</v>
      </c>
      <c r="T34" s="2498"/>
      <c r="U34" s="1295"/>
      <c r="V34" s="2499" t="str">
        <f>IF(TITLE_IST_PUB_CHANGE="",IF(TITLE_IST_PUB="","",TITLE_IST_PUB),TITLE_IST_PUB_CHANGE)</f>
        <v/>
      </c>
      <c r="W34" s="2499"/>
      <c r="X34" s="2499"/>
      <c r="Y34" s="2499"/>
      <c r="Z34" s="2499"/>
      <c r="AA34" s="2499"/>
      <c r="AB34" s="2499"/>
      <c r="AC34" s="263"/>
      <c r="AD34" s="2499" t="str">
        <f>IF(TITLE_IST_PUB_CHANGE="",IF(TITLE_IST_PUB="","",TITLE_IST_PUB),TITLE_IST_PUB_CHANGE)</f>
        <v/>
      </c>
      <c r="AE34" s="2499"/>
      <c r="AF34" s="2499"/>
      <c r="AG34" s="2499"/>
      <c r="AH34" s="2499"/>
      <c r="AI34" s="2499"/>
      <c r="AJ34" s="2499"/>
      <c r="AK34" s="2499"/>
      <c r="AL34" s="2499"/>
      <c r="AM34" s="2499"/>
      <c r="AN34" s="2499"/>
      <c r="AO34" s="2499"/>
      <c r="AP34" s="2499"/>
      <c r="AQ34" s="2499"/>
      <c r="AR34" s="2499"/>
      <c r="AS34" s="2499"/>
      <c r="AT34" s="2499"/>
      <c r="AU34" s="2499"/>
      <c r="AV34" s="2499"/>
      <c r="AW34" s="2499"/>
      <c r="AX34" s="2499"/>
      <c r="AY34" s="2499"/>
      <c r="AZ34" s="2499"/>
      <c r="BA34" s="263"/>
      <c r="BB34" s="263"/>
      <c r="BC34" s="217"/>
      <c r="BD34" s="304"/>
      <c r="BE34" s="304"/>
      <c r="BF34" s="304"/>
      <c r="BG34" s="304"/>
      <c r="BH34" s="304"/>
      <c r="BI34" s="354">
        <v>0</v>
      </c>
    </row>
    <row r="35" spans="1:61" ht="14.25" hidden="1" customHeight="1">
      <c r="Q35" s="228"/>
      <c r="R35" s="312"/>
      <c r="S35" s="1198"/>
      <c r="T35" s="393"/>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78">
        <v>0</v>
      </c>
    </row>
    <row r="36" spans="1:61" s="1770" customFormat="1" ht="18.75" hidden="1" customHeight="1">
      <c r="A36" s="1291"/>
      <c r="B36" s="1291"/>
      <c r="C36" s="1291"/>
      <c r="D36" s="1291"/>
      <c r="E36" s="1291"/>
      <c r="F36" s="1291"/>
      <c r="G36" s="1291"/>
      <c r="H36" s="1291"/>
      <c r="I36" s="1291"/>
      <c r="J36" s="1291"/>
      <c r="K36" s="1291"/>
      <c r="L36" s="1292"/>
      <c r="M36" s="1291"/>
      <c r="N36" s="1291"/>
      <c r="O36" s="1291"/>
      <c r="P36" s="1291"/>
      <c r="Q36" s="1291"/>
      <c r="S36" s="2498" t="str">
        <f>"Дата подачи заявления об "&amp;IF(TITLE_DATE_PR_CHANGE="","утверждении","изменении")&amp;" тарифов"</f>
        <v>Дата подачи заявления об утверждении тарифов</v>
      </c>
      <c r="T36" s="2498"/>
      <c r="U36" s="1295"/>
      <c r="V36" s="2508" t="str">
        <f>IF(TITLE_DATE_PR_CHANGE="",IF(TITLE_DATE_PR="","",TITLE_DATE_PR),TITLE_DATE_PR_CHANGE)</f>
        <v/>
      </c>
      <c r="W36" s="2508"/>
      <c r="X36" s="2508"/>
      <c r="Y36" s="2508"/>
      <c r="Z36" s="2508"/>
      <c r="AA36" s="2508"/>
      <c r="AB36" s="2508"/>
      <c r="AC36" s="263"/>
      <c r="AD36" s="2508" t="str">
        <f>IF(TITLE_DATE_PR_CHANGE="",IF(TITLE_DATE_PR="","",TITLE_DATE_PR),TITLE_DATE_PR_CHANGE)</f>
        <v/>
      </c>
      <c r="AE36" s="2508"/>
      <c r="AF36" s="2508"/>
      <c r="AG36" s="2508"/>
      <c r="AH36" s="2508"/>
      <c r="AI36" s="2508"/>
      <c r="AJ36" s="2508"/>
      <c r="AK36" s="2508"/>
      <c r="AL36" s="2508"/>
      <c r="AM36" s="2508"/>
      <c r="AN36" s="2508"/>
      <c r="AO36" s="2508"/>
      <c r="AP36" s="2508"/>
      <c r="AQ36" s="2508"/>
      <c r="AR36" s="2508"/>
      <c r="AS36" s="2508"/>
      <c r="AT36" s="2508"/>
      <c r="AU36" s="2508"/>
      <c r="AV36" s="2508"/>
      <c r="AW36" s="2508"/>
      <c r="AX36" s="2508"/>
      <c r="AY36" s="2508"/>
      <c r="AZ36" s="2508"/>
      <c r="BA36" s="263"/>
      <c r="BB36" s="263"/>
      <c r="BC36" s="217"/>
      <c r="BD36" s="304"/>
      <c r="BE36" s="304"/>
      <c r="BF36" s="304"/>
      <c r="BG36" s="304"/>
      <c r="BH36" s="304"/>
      <c r="BI36" s="354">
        <v>0</v>
      </c>
    </row>
    <row r="37" spans="1:61" s="1770" customFormat="1" ht="18.75" hidden="1" customHeight="1">
      <c r="A37" s="1291"/>
      <c r="B37" s="1291"/>
      <c r="C37" s="1291"/>
      <c r="D37" s="1291"/>
      <c r="E37" s="1291"/>
      <c r="F37" s="1291"/>
      <c r="G37" s="1291"/>
      <c r="H37" s="1291"/>
      <c r="I37" s="1291"/>
      <c r="J37" s="1291"/>
      <c r="K37" s="1291"/>
      <c r="L37" s="1292"/>
      <c r="M37" s="1291"/>
      <c r="N37" s="1291"/>
      <c r="O37" s="1291"/>
      <c r="P37" s="1291"/>
      <c r="Q37" s="1291"/>
      <c r="S37" s="2498" t="str">
        <f>"Номер подачи заявления об "&amp;IF(TITLE_DATE_PR_CHANGE="","утверждении","изменении")&amp;" тарифов"</f>
        <v>Номер подачи заявления об утверждении тарифов</v>
      </c>
      <c r="T37" s="2498"/>
      <c r="U37" s="1295"/>
      <c r="V37" s="2499" t="str">
        <f>IF(TITLE_NUMBER_PR_CHANGE="",IF(TITLE_NUMBER_PR="","",TITLE_NUMBER_PR),TITLE_NUMBER_PR_CHANGE)</f>
        <v/>
      </c>
      <c r="W37" s="2499"/>
      <c r="X37" s="2499"/>
      <c r="Y37" s="2499"/>
      <c r="Z37" s="2499"/>
      <c r="AA37" s="2499"/>
      <c r="AB37" s="2499"/>
      <c r="AC37" s="263"/>
      <c r="AD37" s="2499" t="str">
        <f>IF(TITLE_NUMBER_PR_CHANGE="",IF(TITLE_NUMBER_PR="","",TITLE_NUMBER_PR),TITLE_NUMBER_PR_CHANGE)</f>
        <v/>
      </c>
      <c r="AE37" s="2499"/>
      <c r="AF37" s="2499"/>
      <c r="AG37" s="2499"/>
      <c r="AH37" s="2499"/>
      <c r="AI37" s="2499"/>
      <c r="AJ37" s="2499"/>
      <c r="AK37" s="2499"/>
      <c r="AL37" s="2499"/>
      <c r="AM37" s="2499"/>
      <c r="AN37" s="2499"/>
      <c r="AO37" s="2499"/>
      <c r="AP37" s="2499"/>
      <c r="AQ37" s="2499"/>
      <c r="AR37" s="2499"/>
      <c r="AS37" s="2499"/>
      <c r="AT37" s="2499"/>
      <c r="AU37" s="2499"/>
      <c r="AV37" s="2499"/>
      <c r="AW37" s="2499"/>
      <c r="AX37" s="2499"/>
      <c r="AY37" s="2499"/>
      <c r="AZ37" s="2499"/>
      <c r="BA37" s="263"/>
      <c r="BB37" s="263"/>
      <c r="BC37" s="217"/>
      <c r="BD37" s="304"/>
      <c r="BE37" s="304"/>
      <c r="BF37" s="304"/>
      <c r="BG37" s="304"/>
      <c r="BH37" s="304"/>
      <c r="BI37" s="354">
        <v>0</v>
      </c>
    </row>
    <row r="38" spans="1:61" s="1770" customFormat="1" ht="0" hidden="1" customHeight="1">
      <c r="A38" s="1291"/>
      <c r="B38" s="1291"/>
      <c r="C38" s="1291"/>
      <c r="D38" s="1291"/>
      <c r="E38" s="1291"/>
      <c r="F38" s="1291"/>
      <c r="G38" s="1291"/>
      <c r="H38" s="1291"/>
      <c r="I38" s="1291"/>
      <c r="J38" s="1291"/>
      <c r="K38" s="1291"/>
      <c r="L38" s="1292"/>
      <c r="M38" s="1291"/>
      <c r="N38" s="1291"/>
      <c r="O38" s="1291"/>
      <c r="P38" s="1291"/>
      <c r="Q38" s="1291"/>
      <c r="S38" s="260"/>
      <c r="T38" s="260"/>
      <c r="U38" s="1411"/>
      <c r="V38" s="263"/>
      <c r="W38" s="263"/>
      <c r="X38" s="263"/>
      <c r="Y38" s="263"/>
      <c r="Z38" s="263"/>
      <c r="AA38" s="263"/>
      <c r="AB38" s="263"/>
      <c r="AC38" s="215" t="s">
        <v>442</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442</v>
      </c>
      <c r="BD38" s="304"/>
      <c r="BE38" s="304"/>
      <c r="BF38" s="304"/>
      <c r="BG38" s="304"/>
      <c r="BH38" s="304"/>
      <c r="BI38" s="354">
        <v>0</v>
      </c>
    </row>
    <row r="39" spans="1:61" ht="14.65" customHeight="1">
      <c r="Q39" s="228"/>
      <c r="R39" s="312"/>
      <c r="S39" s="1198"/>
      <c r="T39" s="299"/>
      <c r="U39" s="1167"/>
      <c r="V39" s="2500"/>
      <c r="W39" s="2500"/>
      <c r="X39" s="2500"/>
      <c r="Y39" s="2500"/>
      <c r="Z39" s="2500"/>
      <c r="AA39" s="2500"/>
      <c r="AB39" s="2500"/>
      <c r="AC39" s="2500"/>
      <c r="AD39" s="2500"/>
      <c r="AE39" s="2500"/>
      <c r="AF39" s="2500"/>
      <c r="AG39" s="2500"/>
      <c r="AH39" s="2500"/>
      <c r="AI39" s="2500"/>
      <c r="AJ39" s="2500"/>
      <c r="AK39" s="2500"/>
      <c r="AL39" s="2500"/>
      <c r="AM39" s="2500"/>
      <c r="AN39" s="2500"/>
      <c r="AO39" s="2500"/>
      <c r="AP39" s="2500"/>
      <c r="AQ39" s="2500"/>
      <c r="AR39" s="2500"/>
      <c r="AS39" s="2500"/>
      <c r="AT39" s="2500"/>
      <c r="AU39" s="2500"/>
      <c r="AV39" s="2500"/>
      <c r="AW39" s="2500"/>
      <c r="AX39" s="2500"/>
      <c r="AY39" s="2500"/>
      <c r="AZ39" s="2500"/>
      <c r="BA39" s="2500"/>
      <c r="BI39" s="1078">
        <v>14</v>
      </c>
    </row>
    <row r="40" spans="1:61" ht="14.65" customHeight="1">
      <c r="Q40" s="228"/>
      <c r="R40" s="312"/>
      <c r="S40" s="2371" t="s">
        <v>319</v>
      </c>
      <c r="T40" s="2371"/>
      <c r="U40" s="2371"/>
      <c r="V40" s="2371"/>
      <c r="W40" s="2371"/>
      <c r="X40" s="2371"/>
      <c r="Y40" s="2371"/>
      <c r="Z40" s="2371"/>
      <c r="AA40" s="2371"/>
      <c r="AB40" s="2371"/>
      <c r="AC40" s="2371"/>
      <c r="AD40" s="2371"/>
      <c r="AE40" s="2371"/>
      <c r="AF40" s="2371"/>
      <c r="AG40" s="2371"/>
      <c r="AH40" s="2371"/>
      <c r="AI40" s="2371"/>
      <c r="AJ40" s="2371"/>
      <c r="AK40" s="2371"/>
      <c r="AL40" s="2371"/>
      <c r="AM40" s="2371"/>
      <c r="AN40" s="2371"/>
      <c r="AO40" s="2371"/>
      <c r="AP40" s="2371"/>
      <c r="AQ40" s="2371"/>
      <c r="AR40" s="2371"/>
      <c r="AS40" s="2371"/>
      <c r="AT40" s="2371"/>
      <c r="AU40" s="2371"/>
      <c r="AV40" s="2371"/>
      <c r="AW40" s="2371"/>
      <c r="AX40" s="2371"/>
      <c r="AY40" s="2371"/>
      <c r="AZ40" s="2371"/>
      <c r="BA40" s="2371"/>
      <c r="BB40" s="2371"/>
      <c r="BC40" s="2371" t="s">
        <v>320</v>
      </c>
      <c r="BI40" s="1078">
        <v>14</v>
      </c>
    </row>
    <row r="41" spans="1:61" ht="14.65" customHeight="1">
      <c r="Q41" s="228"/>
      <c r="R41" s="312"/>
      <c r="S41" s="2514" t="s">
        <v>89</v>
      </c>
      <c r="T41" s="2466" t="s">
        <v>524</v>
      </c>
      <c r="U41" s="238"/>
      <c r="V41" s="2515" t="s">
        <v>444</v>
      </c>
      <c r="W41" s="2516"/>
      <c r="X41" s="2516"/>
      <c r="Y41" s="2516"/>
      <c r="Z41" s="2516"/>
      <c r="AA41" s="2516"/>
      <c r="AB41" s="2517"/>
      <c r="AC41" s="2518" t="s">
        <v>445</v>
      </c>
      <c r="AD41" s="2551" t="s">
        <v>541</v>
      </c>
      <c r="AE41" s="2532"/>
      <c r="AF41" s="2532"/>
      <c r="AG41" s="2552"/>
      <c r="AH41" s="2551" t="s">
        <v>542</v>
      </c>
      <c r="AI41" s="2532"/>
      <c r="AJ41" s="2532"/>
      <c r="AK41" s="2552"/>
      <c r="AL41" s="2551" t="s">
        <v>543</v>
      </c>
      <c r="AM41" s="2532"/>
      <c r="AN41" s="2532"/>
      <c r="AO41" s="2552"/>
      <c r="AP41" s="2551" t="s">
        <v>528</v>
      </c>
      <c r="AQ41" s="2532"/>
      <c r="AR41" s="2532"/>
      <c r="AS41" s="2552"/>
      <c r="AT41" s="2515" t="s">
        <v>444</v>
      </c>
      <c r="AU41" s="2516"/>
      <c r="AV41" s="2516"/>
      <c r="AW41" s="2516"/>
      <c r="AX41" s="2516"/>
      <c r="AY41" s="2516"/>
      <c r="AZ41" s="2517"/>
      <c r="BA41" s="2518" t="s">
        <v>445</v>
      </c>
      <c r="BB41" s="2521" t="s">
        <v>447</v>
      </c>
      <c r="BC41" s="2371"/>
      <c r="BI41" s="1078">
        <v>14</v>
      </c>
    </row>
    <row r="42" spans="1:61" ht="35.65" customHeight="1">
      <c r="Q42" s="228"/>
      <c r="R42" s="312"/>
      <c r="S42" s="2514"/>
      <c r="T42" s="2466"/>
      <c r="U42" s="958"/>
      <c r="V42" s="2452" t="s">
        <v>529</v>
      </c>
      <c r="W42" s="2453"/>
      <c r="X42" s="2452" t="s">
        <v>530</v>
      </c>
      <c r="Y42" s="2453"/>
      <c r="Z42" s="2452" t="s">
        <v>531</v>
      </c>
      <c r="AA42" s="2546"/>
      <c r="AB42" s="2453"/>
      <c r="AC42" s="2519"/>
      <c r="AD42" s="2553"/>
      <c r="AE42" s="2554"/>
      <c r="AF42" s="2554"/>
      <c r="AG42" s="2555"/>
      <c r="AH42" s="2553"/>
      <c r="AI42" s="2554"/>
      <c r="AJ42" s="2554"/>
      <c r="AK42" s="2555"/>
      <c r="AL42" s="2553"/>
      <c r="AM42" s="2554"/>
      <c r="AN42" s="2554"/>
      <c r="AO42" s="2555"/>
      <c r="AP42" s="2553"/>
      <c r="AQ42" s="2554"/>
      <c r="AR42" s="2554"/>
      <c r="AS42" s="2555"/>
      <c r="AT42" s="2452" t="s">
        <v>544</v>
      </c>
      <c r="AU42" s="2453"/>
      <c r="AV42" s="2452" t="s">
        <v>545</v>
      </c>
      <c r="AW42" s="2453"/>
      <c r="AX42" s="2452" t="s">
        <v>531</v>
      </c>
      <c r="AY42" s="2546"/>
      <c r="AZ42" s="2453"/>
      <c r="BA42" s="2519"/>
      <c r="BB42" s="2522"/>
      <c r="BC42" s="2371"/>
      <c r="BI42" s="1078">
        <v>34</v>
      </c>
    </row>
    <row r="43" spans="1:61" ht="14.65" customHeight="1">
      <c r="Q43" s="228"/>
      <c r="R43" s="312"/>
      <c r="S43" s="2514"/>
      <c r="T43" s="2466"/>
      <c r="U43" s="958"/>
      <c r="V43" s="2457"/>
      <c r="W43" s="2458"/>
      <c r="X43" s="2457"/>
      <c r="Y43" s="2458"/>
      <c r="Z43" s="2457"/>
      <c r="AA43" s="2547"/>
      <c r="AB43" s="2458"/>
      <c r="AC43" s="2519"/>
      <c r="AD43" s="2553"/>
      <c r="AE43" s="2554"/>
      <c r="AF43" s="2554"/>
      <c r="AG43" s="2555"/>
      <c r="AH43" s="2553"/>
      <c r="AI43" s="2554"/>
      <c r="AJ43" s="2554"/>
      <c r="AK43" s="2555"/>
      <c r="AL43" s="2553"/>
      <c r="AM43" s="2554"/>
      <c r="AN43" s="2554"/>
      <c r="AO43" s="2555"/>
      <c r="AP43" s="2553"/>
      <c r="AQ43" s="2554"/>
      <c r="AR43" s="2554"/>
      <c r="AS43" s="2555"/>
      <c r="AT43" s="2457"/>
      <c r="AU43" s="2458"/>
      <c r="AV43" s="2457"/>
      <c r="AW43" s="2458"/>
      <c r="AX43" s="2457"/>
      <c r="AY43" s="2547"/>
      <c r="AZ43" s="2458"/>
      <c r="BA43" s="2519"/>
      <c r="BB43" s="2522"/>
      <c r="BC43" s="2371"/>
      <c r="BI43" s="1078">
        <v>14</v>
      </c>
    </row>
    <row r="44" spans="1:61" ht="14.65" customHeight="1">
      <c r="A44" s="1293"/>
      <c r="B44" s="1293" t="s">
        <v>156</v>
      </c>
      <c r="C44" s="1293" t="s">
        <v>157</v>
      </c>
      <c r="D44" s="1293" t="s">
        <v>158</v>
      </c>
      <c r="E44" s="1287" t="s">
        <v>452</v>
      </c>
      <c r="F44" s="1287" t="s">
        <v>453</v>
      </c>
      <c r="G44" s="1287" t="s">
        <v>454</v>
      </c>
      <c r="H44" s="1287" t="s">
        <v>455</v>
      </c>
      <c r="I44" s="1287" t="s">
        <v>456</v>
      </c>
      <c r="J44" s="1287" t="s">
        <v>457</v>
      </c>
      <c r="K44" s="1287" t="s">
        <v>458</v>
      </c>
      <c r="L44" s="1287" t="s">
        <v>437</v>
      </c>
      <c r="Q44" s="228"/>
      <c r="R44" s="312"/>
      <c r="S44" s="2514"/>
      <c r="T44" s="2466"/>
      <c r="U44" s="239"/>
      <c r="V44" s="1402" t="s">
        <v>493</v>
      </c>
      <c r="W44" s="1402" t="s">
        <v>494</v>
      </c>
      <c r="X44" s="1402" t="s">
        <v>493</v>
      </c>
      <c r="Y44" s="1402" t="s">
        <v>494</v>
      </c>
      <c r="Z44" s="1412" t="s">
        <v>461</v>
      </c>
      <c r="AA44" s="2474" t="s">
        <v>462</v>
      </c>
      <c r="AB44" s="2476"/>
      <c r="AC44" s="2520"/>
      <c r="AD44" s="2556"/>
      <c r="AE44" s="2557"/>
      <c r="AF44" s="2557"/>
      <c r="AG44" s="2558"/>
      <c r="AH44" s="2556"/>
      <c r="AI44" s="2557"/>
      <c r="AJ44" s="2557"/>
      <c r="AK44" s="2558"/>
      <c r="AL44" s="2556"/>
      <c r="AM44" s="2557"/>
      <c r="AN44" s="2557"/>
      <c r="AO44" s="2558"/>
      <c r="AP44" s="2556"/>
      <c r="AQ44" s="2557"/>
      <c r="AR44" s="2557"/>
      <c r="AS44" s="2558"/>
      <c r="AT44" s="1402" t="s">
        <v>493</v>
      </c>
      <c r="AU44" s="1402" t="s">
        <v>494</v>
      </c>
      <c r="AV44" s="1402" t="s">
        <v>493</v>
      </c>
      <c r="AW44" s="1402" t="s">
        <v>494</v>
      </c>
      <c r="AX44" s="1412" t="s">
        <v>461</v>
      </c>
      <c r="AY44" s="2474" t="s">
        <v>462</v>
      </c>
      <c r="AZ44" s="2476"/>
      <c r="BA44" s="2520"/>
      <c r="BB44" s="2523"/>
      <c r="BC44" s="2371"/>
      <c r="BI44" s="1078">
        <v>14</v>
      </c>
    </row>
    <row r="45" spans="1:61" s="1564" customFormat="1" ht="11.25" hidden="1" customHeight="1">
      <c r="A45" s="1293"/>
      <c r="B45" s="1293"/>
      <c r="C45" s="1293"/>
      <c r="D45" s="1293"/>
      <c r="E45" s="1293"/>
      <c r="F45" s="1293"/>
      <c r="G45" s="1293"/>
      <c r="H45" s="1293"/>
      <c r="I45" s="1293"/>
      <c r="J45" s="1293"/>
      <c r="K45" s="1293"/>
      <c r="L45" s="1287"/>
      <c r="M45" s="1285"/>
      <c r="N45" s="1285"/>
      <c r="O45" s="1285"/>
      <c r="P45" s="446"/>
      <c r="Q45" s="1177"/>
      <c r="R45" s="1177">
        <v>1</v>
      </c>
      <c r="S45" s="1200" t="s">
        <v>100</v>
      </c>
      <c r="T45" s="1178" t="s">
        <v>103</v>
      </c>
      <c r="U45" s="1168" t="str">
        <f ca="1">OFFSET(U45,0,-1)</f>
        <v>2</v>
      </c>
      <c r="V45" s="1405">
        <f t="shared" ref="V45:AA45" ca="1" si="2">OFFSET(V45,0,-1)+1</f>
        <v>3</v>
      </c>
      <c r="W45" s="1405">
        <f t="shared" ca="1" si="2"/>
        <v>4</v>
      </c>
      <c r="X45" s="1405">
        <f t="shared" ca="1" si="2"/>
        <v>5</v>
      </c>
      <c r="Y45" s="1405">
        <f t="shared" ca="1" si="2"/>
        <v>6</v>
      </c>
      <c r="Z45" s="1405">
        <f t="shared" ca="1" si="2"/>
        <v>7</v>
      </c>
      <c r="AA45" s="2513">
        <f t="shared" ca="1" si="2"/>
        <v>8</v>
      </c>
      <c r="AB45" s="2513"/>
      <c r="AC45" s="1405">
        <f ca="1">OFFSET(AC45,0,-2)+1</f>
        <v>9</v>
      </c>
      <c r="AD45" s="1405">
        <f ca="1">OFFSET(AD45,0,-1)+1</f>
        <v>10</v>
      </c>
      <c r="AE45" s="1405"/>
      <c r="AF45" s="1405"/>
      <c r="AG45" s="1405"/>
      <c r="AH45" s="1405"/>
      <c r="AI45" s="1405"/>
      <c r="AJ45" s="1405"/>
      <c r="AK45" s="1405"/>
      <c r="AL45" s="1405"/>
      <c r="AM45" s="1405"/>
      <c r="AN45" s="1405"/>
      <c r="AO45" s="1405"/>
      <c r="AP45" s="1405"/>
      <c r="AQ45" s="1405"/>
      <c r="AR45" s="1405"/>
      <c r="AS45" s="1405"/>
      <c r="AT45" s="1405"/>
      <c r="AU45" s="1405"/>
      <c r="AV45" s="1405"/>
      <c r="AW45" s="1405">
        <f ca="1">OFFSET(AW45,0,-1)+1</f>
        <v>1</v>
      </c>
      <c r="AX45" s="1405">
        <f ca="1">OFFSET(AX45,0,-1)+1</f>
        <v>2</v>
      </c>
      <c r="AY45" s="2513">
        <f ca="1">OFFSET(AY45,0,-1)+1</f>
        <v>3</v>
      </c>
      <c r="AZ45" s="2513"/>
      <c r="BA45" s="1405">
        <f ca="1">OFFSET(BA45,0,-2)+1</f>
        <v>4</v>
      </c>
      <c r="BB45" s="1168">
        <f ca="1">OFFSET(BB45,0,-1)</f>
        <v>4</v>
      </c>
      <c r="BC45" s="1405">
        <f ca="1">OFFSET(BC45,0,-1)+1</f>
        <v>5</v>
      </c>
      <c r="BD45" s="447"/>
      <c r="BE45" s="447"/>
      <c r="BF45" s="447"/>
      <c r="BG45" s="447"/>
      <c r="BH45" s="447"/>
      <c r="BI45" s="432">
        <v>0</v>
      </c>
    </row>
    <row r="46" spans="1:61" ht="21.95" customHeight="1">
      <c r="A46" s="1286" t="s">
        <v>295</v>
      </c>
      <c r="B46" s="1286"/>
      <c r="C46" s="1286"/>
      <c r="D46" s="1286"/>
      <c r="E46" s="2506">
        <v>1</v>
      </c>
      <c r="F46" s="1286"/>
      <c r="G46" s="1286"/>
      <c r="H46" s="1286"/>
      <c r="I46" s="1286"/>
      <c r="J46" s="1286"/>
      <c r="K46" s="1286"/>
      <c r="L46" s="1287"/>
      <c r="M46" s="1288"/>
      <c r="N46" s="1288"/>
      <c r="O46" s="1288"/>
      <c r="P46" s="1332"/>
      <c r="Q46" s="802"/>
      <c r="R46" s="291"/>
      <c r="S46" s="1416">
        <f>INDEX(PT_DIFFERENTIATION_NUM_NTAR,MATCH(A46,PT_DIFFERENTIATION_NTAR_ID,0))</f>
        <v>0</v>
      </c>
      <c r="T46" s="235" t="s">
        <v>144</v>
      </c>
      <c r="U46" s="237"/>
      <c r="V46" s="2493"/>
      <c r="W46" s="2493"/>
      <c r="X46" s="2493"/>
      <c r="Y46" s="2493"/>
      <c r="Z46" s="2493"/>
      <c r="AA46" s="2493"/>
      <c r="AB46" s="2493"/>
      <c r="AC46" s="2494"/>
      <c r="AD46" s="2492" t="str">
        <f>INDEX(PT_DIFFERENTIATION_NTAR,MATCH(A46,PT_DIFFERENTIATION_NTAR_ID,0))</f>
        <v/>
      </c>
      <c r="AE46" s="2493"/>
      <c r="AF46" s="2493"/>
      <c r="AG46" s="2493"/>
      <c r="AH46" s="2493"/>
      <c r="AI46" s="2493"/>
      <c r="AJ46" s="2493"/>
      <c r="AK46" s="2493"/>
      <c r="AL46" s="2493"/>
      <c r="AM46" s="2493"/>
      <c r="AN46" s="2493"/>
      <c r="AO46" s="2493"/>
      <c r="AP46" s="2493"/>
      <c r="AQ46" s="2493"/>
      <c r="AR46" s="2493"/>
      <c r="AS46" s="2493"/>
      <c r="AT46" s="2493"/>
      <c r="AU46" s="2493"/>
      <c r="AV46" s="2493"/>
      <c r="AW46" s="2493"/>
      <c r="AX46" s="2493"/>
      <c r="AY46" s="2493"/>
      <c r="AZ46" s="2493"/>
      <c r="BA46" s="2493"/>
      <c r="BB46" s="2494"/>
      <c r="BC46"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78">
        <v>21</v>
      </c>
    </row>
    <row r="47" spans="1:61" ht="21.95" customHeight="1">
      <c r="A47" s="1286" t="s">
        <v>295</v>
      </c>
      <c r="B47" s="1286" t="s">
        <v>296</v>
      </c>
      <c r="C47" s="1286"/>
      <c r="D47" s="1286"/>
      <c r="E47" s="2507"/>
      <c r="F47" s="2506">
        <v>1</v>
      </c>
      <c r="G47" s="1286"/>
      <c r="H47" s="1286"/>
      <c r="I47" s="1286"/>
      <c r="J47" s="1286"/>
      <c r="K47" s="1286"/>
      <c r="L47" s="1287"/>
      <c r="M47" s="1288"/>
      <c r="N47" s="1288"/>
      <c r="O47" s="1288"/>
      <c r="P47" s="1333"/>
      <c r="Q47" s="1334"/>
      <c r="R47" s="289"/>
      <c r="S47" s="1416" t="str">
        <f>INDEX(PT_DIFFERENTIATION_NUM_TER,MATCH(B47,PT_DIFFERENTIATION_TER_ID,0))</f>
        <v>.</v>
      </c>
      <c r="T47" s="245" t="s">
        <v>416</v>
      </c>
      <c r="U47" s="237"/>
      <c r="V47" s="2493"/>
      <c r="W47" s="2493"/>
      <c r="X47" s="2493"/>
      <c r="Y47" s="2493"/>
      <c r="Z47" s="2493"/>
      <c r="AA47" s="2493"/>
      <c r="AB47" s="2493"/>
      <c r="AC47" s="2494"/>
      <c r="AD47" s="2492" t="str">
        <f>INDEX(PT_DIFFERENTIATION_TER,MATCH(B47,PT_DIFFERENTIATION_TER_ID,0))</f>
        <v/>
      </c>
      <c r="AE47" s="2493"/>
      <c r="AF47" s="2493"/>
      <c r="AG47" s="2493"/>
      <c r="AH47" s="2493"/>
      <c r="AI47" s="2493"/>
      <c r="AJ47" s="2493"/>
      <c r="AK47" s="2493"/>
      <c r="AL47" s="2493"/>
      <c r="AM47" s="2493"/>
      <c r="AN47" s="2493"/>
      <c r="AO47" s="2493"/>
      <c r="AP47" s="2493"/>
      <c r="AQ47" s="2493"/>
      <c r="AR47" s="2493"/>
      <c r="AS47" s="2493"/>
      <c r="AT47" s="2493"/>
      <c r="AU47" s="2493"/>
      <c r="AV47" s="2493"/>
      <c r="AW47" s="2493"/>
      <c r="AX47" s="2493"/>
      <c r="AY47" s="2493"/>
      <c r="AZ47" s="2493"/>
      <c r="BA47" s="2493"/>
      <c r="BB47" s="2494"/>
      <c r="BC47" s="1181" t="s">
        <v>417</v>
      </c>
      <c r="BE47" s="436"/>
      <c r="BF47" s="436" t="str">
        <f t="shared" si="3"/>
        <v>Территория действия тарифа</v>
      </c>
      <c r="BG47" s="436"/>
      <c r="BH47" s="436"/>
      <c r="BI47" s="1078">
        <v>21</v>
      </c>
    </row>
    <row r="48" spans="1:61" ht="35.65" customHeight="1">
      <c r="A48" s="1286" t="s">
        <v>295</v>
      </c>
      <c r="B48" s="1286" t="s">
        <v>296</v>
      </c>
      <c r="C48" s="1286" t="s">
        <v>297</v>
      </c>
      <c r="D48" s="1286"/>
      <c r="E48" s="2507"/>
      <c r="F48" s="2507"/>
      <c r="G48" s="2506">
        <v>1</v>
      </c>
      <c r="H48" s="1286"/>
      <c r="I48" s="1286"/>
      <c r="J48" s="1286"/>
      <c r="K48" s="1286"/>
      <c r="L48" s="1287"/>
      <c r="M48" s="1288"/>
      <c r="N48" s="1288"/>
      <c r="O48" s="1288"/>
      <c r="P48" s="1335"/>
      <c r="Q48" s="1334"/>
      <c r="R48" s="289"/>
      <c r="S48" s="1416" t="str">
        <f>INDEX(PT_DIFFERENTIATION_NUM_CS,MATCH(C48,PT_DIFFERENTIATION_CS_ID,0))</f>
        <v>..</v>
      </c>
      <c r="T48" s="246" t="s">
        <v>533</v>
      </c>
      <c r="U48" s="237"/>
      <c r="V48" s="2493"/>
      <c r="W48" s="2493"/>
      <c r="X48" s="2493"/>
      <c r="Y48" s="2493"/>
      <c r="Z48" s="2493"/>
      <c r="AA48" s="2493"/>
      <c r="AB48" s="2493"/>
      <c r="AC48" s="2494"/>
      <c r="AD48" s="2492" t="str">
        <f>INDEX(PT_DIFFERENTIATION_CS,MATCH(C48,PT_DIFFERENTIATION_CS_ID,0))</f>
        <v/>
      </c>
      <c r="AE48" s="2493"/>
      <c r="AF48" s="2493"/>
      <c r="AG48" s="2493"/>
      <c r="AH48" s="2493"/>
      <c r="AI48" s="2493"/>
      <c r="AJ48" s="2493"/>
      <c r="AK48" s="2493"/>
      <c r="AL48" s="2493"/>
      <c r="AM48" s="2493"/>
      <c r="AN48" s="2493"/>
      <c r="AO48" s="2493"/>
      <c r="AP48" s="2493"/>
      <c r="AQ48" s="2493"/>
      <c r="AR48" s="2493"/>
      <c r="AS48" s="2493"/>
      <c r="AT48" s="2493"/>
      <c r="AU48" s="2493"/>
      <c r="AV48" s="2493"/>
      <c r="AW48" s="2493"/>
      <c r="AX48" s="2493"/>
      <c r="AY48" s="2493"/>
      <c r="AZ48" s="2493"/>
      <c r="BA48" s="2493"/>
      <c r="BB48" s="2494"/>
      <c r="BC48" s="1181" t="s">
        <v>534</v>
      </c>
      <c r="BE48" s="436"/>
      <c r="BF48" s="436" t="str">
        <f t="shared" si="3"/>
        <v>Наименование централизованной системы водоотведения</v>
      </c>
      <c r="BG48" s="436"/>
      <c r="BH48" s="436"/>
      <c r="BI48" s="1078">
        <v>34</v>
      </c>
    </row>
    <row r="49" spans="1:61" s="1565" customFormat="1" ht="0" hidden="1" customHeight="1">
      <c r="A49" s="1266" t="s">
        <v>295</v>
      </c>
      <c r="B49" s="1266" t="s">
        <v>296</v>
      </c>
      <c r="C49" s="1266" t="s">
        <v>297</v>
      </c>
      <c r="D49" s="1266" t="s">
        <v>546</v>
      </c>
      <c r="E49" s="2507"/>
      <c r="F49" s="2507"/>
      <c r="G49" s="2507"/>
      <c r="H49" s="2506">
        <v>1</v>
      </c>
      <c r="I49" s="1266"/>
      <c r="J49" s="1266"/>
      <c r="K49" s="1266"/>
      <c r="L49" s="1269"/>
      <c r="M49" s="1238"/>
      <c r="N49" s="1238"/>
      <c r="O49" s="1238"/>
      <c r="P49" s="1420"/>
      <c r="Q49" s="1421"/>
      <c r="R49" s="293"/>
      <c r="S49" s="969"/>
      <c r="T49" s="1422"/>
      <c r="U49" s="1307"/>
      <c r="V49" s="2536"/>
      <c r="W49" s="2536"/>
      <c r="X49" s="2536"/>
      <c r="Y49" s="2536"/>
      <c r="Z49" s="2536"/>
      <c r="AA49" s="2536"/>
      <c r="AB49" s="2536"/>
      <c r="AC49" s="2537"/>
      <c r="AD49" s="2535"/>
      <c r="AE49" s="2536"/>
      <c r="AF49" s="2536"/>
      <c r="AG49" s="2536"/>
      <c r="AH49" s="2536"/>
      <c r="AI49" s="2536"/>
      <c r="AJ49" s="2536"/>
      <c r="AK49" s="2536"/>
      <c r="AL49" s="2536"/>
      <c r="AM49" s="2536"/>
      <c r="AN49" s="2536"/>
      <c r="AO49" s="2536"/>
      <c r="AP49" s="2536"/>
      <c r="AQ49" s="2536"/>
      <c r="AR49" s="2536"/>
      <c r="AS49" s="2536"/>
      <c r="AT49" s="2536"/>
      <c r="AU49" s="2536"/>
      <c r="AV49" s="2536"/>
      <c r="AW49" s="2536"/>
      <c r="AX49" s="2536"/>
      <c r="AY49" s="2536"/>
      <c r="AZ49" s="2536"/>
      <c r="BA49" s="2536"/>
      <c r="BB49" s="2537"/>
      <c r="BC49" s="1308" t="s">
        <v>421</v>
      </c>
      <c r="BE49" s="436"/>
      <c r="BF49" s="436" t="str">
        <f t="shared" si="3"/>
        <v/>
      </c>
      <c r="BG49" s="436"/>
      <c r="BH49" s="436"/>
      <c r="BI49" s="447">
        <v>0</v>
      </c>
    </row>
    <row r="50" spans="1:61" s="1565" customFormat="1" ht="0" hidden="1" customHeight="1">
      <c r="A50" s="1266" t="s">
        <v>295</v>
      </c>
      <c r="B50" s="1266" t="s">
        <v>296</v>
      </c>
      <c r="C50" s="1266" t="s">
        <v>297</v>
      </c>
      <c r="D50" s="1266" t="s">
        <v>546</v>
      </c>
      <c r="E50" s="2507"/>
      <c r="F50" s="2507"/>
      <c r="G50" s="2507"/>
      <c r="H50" s="2507"/>
      <c r="I50" s="2504" t="str">
        <f>S49&amp;".1"</f>
        <v>.1</v>
      </c>
      <c r="J50" s="1266"/>
      <c r="K50" s="1266"/>
      <c r="L50" s="1269" t="s">
        <v>422</v>
      </c>
      <c r="M50" s="446"/>
      <c r="N50" s="446"/>
      <c r="O50" s="446"/>
      <c r="P50" s="2505">
        <v>1</v>
      </c>
      <c r="Q50" s="1404"/>
      <c r="R50" s="292"/>
      <c r="S50" s="969"/>
      <c r="T50" s="1306"/>
      <c r="U50" s="1307"/>
      <c r="V50" s="2536"/>
      <c r="W50" s="2536"/>
      <c r="X50" s="2536"/>
      <c r="Y50" s="2536"/>
      <c r="Z50" s="2536"/>
      <c r="AA50" s="2536"/>
      <c r="AB50" s="2536"/>
      <c r="AC50" s="2537"/>
      <c r="AD50" s="2535"/>
      <c r="AE50" s="2536"/>
      <c r="AF50" s="2536"/>
      <c r="AG50" s="2536"/>
      <c r="AH50" s="2536"/>
      <c r="AI50" s="2536"/>
      <c r="AJ50" s="2536"/>
      <c r="AK50" s="2536"/>
      <c r="AL50" s="2536"/>
      <c r="AM50" s="2536"/>
      <c r="AN50" s="2536"/>
      <c r="AO50" s="2536"/>
      <c r="AP50" s="2536"/>
      <c r="AQ50" s="2536"/>
      <c r="AR50" s="2536"/>
      <c r="AS50" s="2536"/>
      <c r="AT50" s="2536"/>
      <c r="AU50" s="2536"/>
      <c r="AV50" s="2536"/>
      <c r="AW50" s="2536"/>
      <c r="AX50" s="2536"/>
      <c r="AY50" s="2536"/>
      <c r="AZ50" s="2536"/>
      <c r="BA50" s="2536"/>
      <c r="BB50" s="2537"/>
      <c r="BC50" s="1308"/>
      <c r="BE50" s="436"/>
      <c r="BF50" s="436" t="str">
        <f t="shared" si="3"/>
        <v/>
      </c>
      <c r="BG50" s="436"/>
      <c r="BH50" s="436"/>
      <c r="BI50" s="447">
        <v>0</v>
      </c>
    </row>
    <row r="51" spans="1:61" s="1565" customFormat="1" ht="0" hidden="1" customHeight="1">
      <c r="A51" s="1266" t="s">
        <v>295</v>
      </c>
      <c r="B51" s="1266" t="s">
        <v>296</v>
      </c>
      <c r="C51" s="1266" t="s">
        <v>297</v>
      </c>
      <c r="D51" s="1266" t="s">
        <v>546</v>
      </c>
      <c r="E51" s="2507"/>
      <c r="F51" s="2507"/>
      <c r="G51" s="2507"/>
      <c r="H51" s="2507"/>
      <c r="I51" s="2527"/>
      <c r="J51" s="2504" t="str">
        <f>S49&amp;".1"</f>
        <v>.1</v>
      </c>
      <c r="K51" s="1266"/>
      <c r="L51" s="1269"/>
      <c r="M51" s="446"/>
      <c r="N51" s="446"/>
      <c r="O51" s="446"/>
      <c r="P51" s="2505"/>
      <c r="Q51" s="2505">
        <v>1</v>
      </c>
      <c r="R51" s="293"/>
      <c r="S51" s="969"/>
      <c r="T51" s="1322"/>
      <c r="U51" s="1307"/>
      <c r="V51" s="2536"/>
      <c r="W51" s="2536"/>
      <c r="X51" s="2536"/>
      <c r="Y51" s="2536"/>
      <c r="Z51" s="2536"/>
      <c r="AA51" s="2536"/>
      <c r="AB51" s="2536"/>
      <c r="AC51" s="2537"/>
      <c r="AD51" s="2535"/>
      <c r="AE51" s="2536"/>
      <c r="AF51" s="2536"/>
      <c r="AG51" s="2536"/>
      <c r="AH51" s="2536"/>
      <c r="AI51" s="2536"/>
      <c r="AJ51" s="2536"/>
      <c r="AK51" s="2536"/>
      <c r="AL51" s="2536"/>
      <c r="AM51" s="2536"/>
      <c r="AN51" s="2589"/>
      <c r="AO51" s="2589"/>
      <c r="AP51" s="2536"/>
      <c r="AQ51" s="2536"/>
      <c r="AR51" s="2536"/>
      <c r="AS51" s="2536"/>
      <c r="AT51" s="2536"/>
      <c r="AU51" s="2536"/>
      <c r="AV51" s="2536"/>
      <c r="AW51" s="2536"/>
      <c r="AX51" s="2536"/>
      <c r="AY51" s="2536"/>
      <c r="AZ51" s="2536"/>
      <c r="BA51" s="2536"/>
      <c r="BB51" s="2537"/>
      <c r="BC51" s="1308"/>
      <c r="BE51" s="436"/>
      <c r="BF51" s="436" t="str">
        <f t="shared" si="3"/>
        <v/>
      </c>
      <c r="BG51" s="436"/>
      <c r="BH51" s="436"/>
      <c r="BI51" s="447">
        <v>0</v>
      </c>
    </row>
    <row r="52" spans="1:61" ht="11.45" customHeight="1">
      <c r="A52" s="1286" t="s">
        <v>295</v>
      </c>
      <c r="B52" s="1286" t="s">
        <v>296</v>
      </c>
      <c r="C52" s="1286" t="s">
        <v>297</v>
      </c>
      <c r="D52" s="1286" t="s">
        <v>546</v>
      </c>
      <c r="E52" s="2507"/>
      <c r="F52" s="2507"/>
      <c r="G52" s="2507"/>
      <c r="H52" s="2507"/>
      <c r="I52" s="2527"/>
      <c r="J52" s="2527"/>
      <c r="K52" s="2504" t="str">
        <f>S48&amp;".1"</f>
        <v>...1</v>
      </c>
      <c r="L52" s="1287"/>
      <c r="P52" s="2505"/>
      <c r="Q52" s="2505"/>
      <c r="R52" s="293">
        <v>1</v>
      </c>
      <c r="S52" s="2564" t="str">
        <f>$K52</f>
        <v>...1</v>
      </c>
      <c r="T52" s="2585"/>
      <c r="U52" s="237"/>
      <c r="V52" s="686"/>
      <c r="W52" s="1180"/>
      <c r="X52" s="686"/>
      <c r="Y52" s="1180"/>
      <c r="Z52" s="1655"/>
      <c r="AA52" s="1392" t="s">
        <v>63</v>
      </c>
      <c r="AB52" s="1655"/>
      <c r="AC52" s="1392" t="s">
        <v>63</v>
      </c>
      <c r="AD52" s="2445" t="s">
        <v>63</v>
      </c>
      <c r="AE52" s="2549"/>
      <c r="AF52" s="2462">
        <v>1</v>
      </c>
      <c r="AG52" s="2588"/>
      <c r="AH52" s="2360" t="s">
        <v>63</v>
      </c>
      <c r="AI52" s="2549"/>
      <c r="AJ52" s="2462">
        <v>1</v>
      </c>
      <c r="AK52" s="2550" t="s">
        <v>22</v>
      </c>
      <c r="AL52" s="2360" t="s">
        <v>63</v>
      </c>
      <c r="AM52" s="2452"/>
      <c r="AN52" s="2462">
        <v>1</v>
      </c>
      <c r="AO52" s="2582"/>
      <c r="AP52" s="2583" t="s">
        <v>63</v>
      </c>
      <c r="AQ52" s="248"/>
      <c r="AR52" s="1409">
        <v>1</v>
      </c>
      <c r="AS52" s="1415" t="s">
        <v>22</v>
      </c>
      <c r="AT52" s="686"/>
      <c r="AU52" s="1180"/>
      <c r="AV52" s="686"/>
      <c r="AW52" s="1180"/>
      <c r="AX52" s="1655"/>
      <c r="AY52" s="1392" t="s">
        <v>63</v>
      </c>
      <c r="AZ52" s="1655"/>
      <c r="BA52" s="1392" t="s">
        <v>63</v>
      </c>
      <c r="BB52" s="1271"/>
      <c r="BC52" s="2501" t="s">
        <v>516</v>
      </c>
      <c r="BE52" s="436"/>
      <c r="BF52" s="436" t="str">
        <f t="shared" si="3"/>
        <v/>
      </c>
      <c r="BG52" s="436"/>
      <c r="BH52" s="436"/>
      <c r="BI52" s="1078">
        <v>11</v>
      </c>
    </row>
    <row r="53" spans="1:61" ht="11.45" customHeight="1">
      <c r="A53" s="1286"/>
      <c r="B53" s="1286"/>
      <c r="C53" s="1286"/>
      <c r="D53" s="1286"/>
      <c r="E53" s="2507"/>
      <c r="F53" s="2507"/>
      <c r="G53" s="2507"/>
      <c r="H53" s="2507"/>
      <c r="I53" s="2527"/>
      <c r="J53" s="2527"/>
      <c r="K53" s="2504"/>
      <c r="L53" s="1287"/>
      <c r="P53" s="2505"/>
      <c r="Q53" s="2505"/>
      <c r="R53" s="293"/>
      <c r="S53" s="2565"/>
      <c r="T53" s="2586"/>
      <c r="U53" s="237"/>
      <c r="V53" s="1316"/>
      <c r="W53" s="1419"/>
      <c r="X53" s="1316"/>
      <c r="Y53" s="1419"/>
      <c r="Z53" s="1316"/>
      <c r="AA53" s="1316"/>
      <c r="AB53" s="1316"/>
      <c r="AC53" s="1316"/>
      <c r="AD53" s="2446"/>
      <c r="AE53" s="2549"/>
      <c r="AF53" s="2462"/>
      <c r="AG53" s="2588"/>
      <c r="AH53" s="2360"/>
      <c r="AI53" s="2549"/>
      <c r="AJ53" s="2462"/>
      <c r="AK53" s="2550"/>
      <c r="AL53" s="2360"/>
      <c r="AM53" s="2457"/>
      <c r="AN53" s="2462"/>
      <c r="AO53" s="2582"/>
      <c r="AP53" s="2584"/>
      <c r="AQ53" s="253"/>
      <c r="AR53" s="352"/>
      <c r="AS53" s="352" t="s">
        <v>517</v>
      </c>
      <c r="AT53" s="1316"/>
      <c r="AU53" s="1419"/>
      <c r="AV53" s="1316"/>
      <c r="AW53" s="1419"/>
      <c r="AX53" s="1316"/>
      <c r="AY53" s="1316"/>
      <c r="AZ53" s="1316"/>
      <c r="BA53" s="1316"/>
      <c r="BB53" s="1320"/>
      <c r="BC53" s="2502"/>
      <c r="BE53" s="436"/>
      <c r="BF53" s="436"/>
      <c r="BG53" s="436"/>
      <c r="BH53" s="436"/>
      <c r="BI53" s="1078">
        <v>11</v>
      </c>
    </row>
    <row r="54" spans="1:61" ht="11.45" customHeight="1">
      <c r="A54" s="1286" t="s">
        <v>295</v>
      </c>
      <c r="B54" s="1286"/>
      <c r="C54" s="1286"/>
      <c r="D54" s="1286"/>
      <c r="E54" s="2507"/>
      <c r="F54" s="2507"/>
      <c r="G54" s="2507"/>
      <c r="H54" s="2507"/>
      <c r="I54" s="2527"/>
      <c r="J54" s="2527"/>
      <c r="K54" s="2504"/>
      <c r="L54" s="1287"/>
      <c r="P54" s="2505"/>
      <c r="Q54" s="2505"/>
      <c r="R54" s="293"/>
      <c r="S54" s="2565"/>
      <c r="T54" s="2586"/>
      <c r="U54" s="237"/>
      <c r="V54" s="1316"/>
      <c r="W54" s="1419"/>
      <c r="X54" s="1316"/>
      <c r="Y54" s="1419"/>
      <c r="Z54" s="1316"/>
      <c r="AA54" s="1316"/>
      <c r="AB54" s="1316"/>
      <c r="AC54" s="1316"/>
      <c r="AD54" s="2446"/>
      <c r="AE54" s="2549"/>
      <c r="AF54" s="2462"/>
      <c r="AG54" s="2588"/>
      <c r="AH54" s="2360"/>
      <c r="AI54" s="2549"/>
      <c r="AJ54" s="2462"/>
      <c r="AK54" s="2550"/>
      <c r="AL54" s="2360"/>
      <c r="AM54" s="253"/>
      <c r="AN54" s="1423"/>
      <c r="AO54" s="1423" t="s">
        <v>539</v>
      </c>
      <c r="AP54" s="352"/>
      <c r="AQ54" s="352"/>
      <c r="AR54" s="352"/>
      <c r="AS54" s="1316"/>
      <c r="AT54" s="1316"/>
      <c r="AU54" s="1419"/>
      <c r="AV54" s="1316"/>
      <c r="AW54" s="1419"/>
      <c r="AX54" s="1316"/>
      <c r="AY54" s="1316"/>
      <c r="AZ54" s="1316"/>
      <c r="BA54" s="1316"/>
      <c r="BB54" s="1320"/>
      <c r="BC54" s="2502"/>
      <c r="BE54" s="436"/>
      <c r="BF54" s="436"/>
      <c r="BG54" s="436"/>
      <c r="BH54" s="436"/>
      <c r="BI54" s="1078">
        <v>11</v>
      </c>
    </row>
    <row r="55" spans="1:61" ht="11.45" customHeight="1">
      <c r="A55" s="1286" t="s">
        <v>295</v>
      </c>
      <c r="B55" s="1286"/>
      <c r="C55" s="1286"/>
      <c r="D55" s="1286"/>
      <c r="E55" s="2507"/>
      <c r="F55" s="2507"/>
      <c r="G55" s="2507"/>
      <c r="H55" s="2507"/>
      <c r="I55" s="2527"/>
      <c r="J55" s="2527"/>
      <c r="K55" s="2504"/>
      <c r="L55" s="1287"/>
      <c r="P55" s="2505"/>
      <c r="Q55" s="2505"/>
      <c r="R55" s="293"/>
      <c r="S55" s="2565"/>
      <c r="T55" s="2586"/>
      <c r="U55" s="237"/>
      <c r="V55" s="1316"/>
      <c r="W55" s="1419"/>
      <c r="X55" s="1316"/>
      <c r="Y55" s="1419"/>
      <c r="Z55" s="1316"/>
      <c r="AA55" s="1316"/>
      <c r="AB55" s="1316"/>
      <c r="AC55" s="1316"/>
      <c r="AD55" s="2446"/>
      <c r="AE55" s="2549"/>
      <c r="AF55" s="2462"/>
      <c r="AG55" s="2588"/>
      <c r="AH55" s="2360"/>
      <c r="AI55" s="231"/>
      <c r="AJ55" s="351"/>
      <c r="AK55" s="250" t="s">
        <v>540</v>
      </c>
      <c r="AL55" s="1316"/>
      <c r="AM55" s="1316"/>
      <c r="AN55" s="1316"/>
      <c r="AO55" s="1316"/>
      <c r="AP55" s="1316"/>
      <c r="AQ55" s="1316"/>
      <c r="AR55" s="1316"/>
      <c r="AS55" s="1316"/>
      <c r="AT55" s="1316"/>
      <c r="AU55" s="1419"/>
      <c r="AV55" s="1316"/>
      <c r="AW55" s="1419"/>
      <c r="AX55" s="1316"/>
      <c r="AY55" s="1316"/>
      <c r="AZ55" s="1316"/>
      <c r="BA55" s="1316"/>
      <c r="BB55" s="1320"/>
      <c r="BC55" s="2502"/>
      <c r="BE55" s="436"/>
      <c r="BF55" s="436"/>
      <c r="BG55" s="436"/>
      <c r="BH55" s="436"/>
      <c r="BI55" s="1078">
        <v>11</v>
      </c>
    </row>
    <row r="56" spans="1:61" ht="11.45" customHeight="1">
      <c r="A56" s="1286" t="s">
        <v>295</v>
      </c>
      <c r="B56" s="1286" t="s">
        <v>296</v>
      </c>
      <c r="C56" s="1286" t="s">
        <v>297</v>
      </c>
      <c r="D56" s="1286" t="s">
        <v>546</v>
      </c>
      <c r="E56" s="2507"/>
      <c r="F56" s="2507"/>
      <c r="G56" s="2507"/>
      <c r="H56" s="2507"/>
      <c r="I56" s="2527"/>
      <c r="J56" s="2527"/>
      <c r="K56" s="2504"/>
      <c r="L56" s="1287"/>
      <c r="P56" s="2505"/>
      <c r="Q56" s="2505"/>
      <c r="R56" s="293"/>
      <c r="S56" s="2566"/>
      <c r="T56" s="2587"/>
      <c r="U56" s="237"/>
      <c r="V56" s="1316"/>
      <c r="W56" s="1317" t="str">
        <f>Z52&amp;"-"&amp;AB52</f>
        <v>-</v>
      </c>
      <c r="X56" s="1316"/>
      <c r="Y56" s="1317" t="str">
        <f>AB52&amp;"-"&amp;AD52</f>
        <v>-да</v>
      </c>
      <c r="Z56" s="1316"/>
      <c r="AA56" s="1316"/>
      <c r="AB56" s="1316"/>
      <c r="AC56" s="1316"/>
      <c r="AD56" s="2375"/>
      <c r="AE56" s="249"/>
      <c r="AF56" s="251"/>
      <c r="AG56" s="352" t="s">
        <v>520</v>
      </c>
      <c r="AH56" s="1316"/>
      <c r="AI56" s="1316"/>
      <c r="AJ56" s="1316"/>
      <c r="AK56" s="1316"/>
      <c r="AL56" s="1316"/>
      <c r="AM56" s="1316"/>
      <c r="AN56" s="1316"/>
      <c r="AO56" s="1316"/>
      <c r="AP56" s="1316"/>
      <c r="AQ56" s="1316"/>
      <c r="AR56" s="1316"/>
      <c r="AS56" s="1316"/>
      <c r="AT56" s="1316"/>
      <c r="AU56" s="1317" t="str">
        <f>AX52&amp;"-"&amp;AZ52</f>
        <v>-</v>
      </c>
      <c r="AV56" s="1316"/>
      <c r="AW56" s="1317" t="str">
        <f>AZ52&amp;"-"&amp;BB52</f>
        <v>-</v>
      </c>
      <c r="AX56" s="1316"/>
      <c r="AY56" s="1316"/>
      <c r="AZ56" s="1316"/>
      <c r="BA56" s="1316"/>
      <c r="BB56" s="1319" t="str">
        <f>BE52&amp;"-"&amp;BG52</f>
        <v>-</v>
      </c>
      <c r="BC56" s="2502"/>
      <c r="BE56" s="436"/>
      <c r="BF56" s="436" t="str">
        <f t="shared" ref="BF56:BF63" si="4">IF(T56="","",T56)</f>
        <v/>
      </c>
      <c r="BG56" s="436"/>
      <c r="BH56" s="436"/>
      <c r="BI56" s="1078">
        <v>11</v>
      </c>
    </row>
    <row r="57" spans="1:61" ht="11.45" customHeight="1">
      <c r="A57" s="1286" t="s">
        <v>295</v>
      </c>
      <c r="B57" s="1286" t="s">
        <v>296</v>
      </c>
      <c r="C57" s="1286" t="s">
        <v>297</v>
      </c>
      <c r="D57" s="1286" t="s">
        <v>546</v>
      </c>
      <c r="E57" s="2507"/>
      <c r="F57" s="2507"/>
      <c r="G57" s="2507"/>
      <c r="H57" s="2507"/>
      <c r="I57" s="2527"/>
      <c r="J57" s="2504"/>
      <c r="K57" s="1286"/>
      <c r="L57" s="1287"/>
      <c r="P57" s="2505"/>
      <c r="Q57" s="2505"/>
      <c r="R57" s="292"/>
      <c r="S57" s="1201"/>
      <c r="T57" s="224" t="s">
        <v>483</v>
      </c>
      <c r="U57" s="303"/>
      <c r="V57" s="303"/>
      <c r="W57" s="303"/>
      <c r="X57" s="303"/>
      <c r="Y57" s="303"/>
      <c r="Z57" s="303"/>
      <c r="AA57" s="303"/>
      <c r="AB57" s="303"/>
      <c r="AC57" s="261"/>
      <c r="AD57" s="1428"/>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503"/>
      <c r="BE57" s="436"/>
      <c r="BF57" s="436" t="str">
        <f t="shared" si="4"/>
        <v>Добавить строку</v>
      </c>
      <c r="BG57" s="436"/>
      <c r="BH57" s="436"/>
      <c r="BI57" s="1078">
        <v>11</v>
      </c>
    </row>
    <row r="58" spans="1:61" s="1565" customFormat="1" ht="0" hidden="1" customHeight="1">
      <c r="A58" s="1266" t="s">
        <v>295</v>
      </c>
      <c r="B58" s="1266" t="s">
        <v>296</v>
      </c>
      <c r="C58" s="1266" t="s">
        <v>297</v>
      </c>
      <c r="D58" s="1266" t="s">
        <v>546</v>
      </c>
      <c r="E58" s="2507"/>
      <c r="F58" s="2507"/>
      <c r="G58" s="2507"/>
      <c r="H58" s="2507"/>
      <c r="I58" s="2504"/>
      <c r="J58" s="1266"/>
      <c r="K58" s="1266"/>
      <c r="L58" s="1269"/>
      <c r="M58" s="446"/>
      <c r="N58" s="446"/>
      <c r="O58" s="446"/>
      <c r="P58" s="2505"/>
      <c r="Q58" s="1404"/>
      <c r="R58" s="292"/>
      <c r="S58" s="1309"/>
      <c r="T58" s="1310"/>
      <c r="U58" s="1311"/>
      <c r="V58" s="1311"/>
      <c r="W58" s="1311"/>
      <c r="X58" s="1311"/>
      <c r="Y58" s="1311"/>
      <c r="Z58" s="1311"/>
      <c r="AA58" s="1311"/>
      <c r="AB58" s="1311"/>
      <c r="AC58" s="1311"/>
      <c r="AD58" s="1311"/>
      <c r="AE58" s="1311"/>
      <c r="AF58" s="1311"/>
      <c r="AG58" s="1311"/>
      <c r="AH58" s="1311"/>
      <c r="AI58" s="1311"/>
      <c r="AJ58" s="1311"/>
      <c r="AK58" s="1311"/>
      <c r="AL58" s="1311"/>
      <c r="AM58" s="1311"/>
      <c r="AN58" s="1311"/>
      <c r="AO58" s="1311"/>
      <c r="AP58" s="1311"/>
      <c r="AQ58" s="1311"/>
      <c r="AR58" s="1311"/>
      <c r="AS58" s="1311"/>
      <c r="AT58" s="1311"/>
      <c r="AU58" s="1311"/>
      <c r="AV58" s="1311"/>
      <c r="AW58" s="1311"/>
      <c r="AX58" s="1311"/>
      <c r="AY58" s="1311"/>
      <c r="AZ58" s="1311"/>
      <c r="BA58" s="1311"/>
      <c r="BB58" s="1311"/>
      <c r="BC58" s="1312"/>
      <c r="BE58" s="436"/>
      <c r="BF58" s="436" t="str">
        <f t="shared" si="4"/>
        <v/>
      </c>
      <c r="BG58" s="436"/>
      <c r="BH58" s="436"/>
      <c r="BI58" s="447">
        <v>0</v>
      </c>
    </row>
    <row r="59" spans="1:61" s="1565" customFormat="1" ht="0" hidden="1" customHeight="1">
      <c r="A59" s="1266" t="s">
        <v>295</v>
      </c>
      <c r="B59" s="1266" t="s">
        <v>296</v>
      </c>
      <c r="C59" s="1266" t="s">
        <v>297</v>
      </c>
      <c r="D59" s="1266" t="s">
        <v>546</v>
      </c>
      <c r="E59" s="2507"/>
      <c r="F59" s="2507"/>
      <c r="G59" s="2507"/>
      <c r="H59" s="2506"/>
      <c r="I59" s="1266"/>
      <c r="J59" s="1266"/>
      <c r="K59" s="1266"/>
      <c r="L59" s="1269"/>
      <c r="M59" s="1238"/>
      <c r="N59" s="1238"/>
      <c r="O59" s="454"/>
      <c r="P59" s="316"/>
      <c r="Q59" s="1267"/>
      <c r="R59" s="1324"/>
      <c r="S59" s="1309"/>
      <c r="T59" s="1310"/>
      <c r="U59" s="1311"/>
      <c r="V59" s="1311"/>
      <c r="W59" s="1311"/>
      <c r="X59" s="1311"/>
      <c r="Y59" s="1311"/>
      <c r="Z59" s="1311"/>
      <c r="AA59" s="1311"/>
      <c r="AB59" s="1311"/>
      <c r="AC59" s="1311"/>
      <c r="AD59" s="1311"/>
      <c r="AE59" s="1311"/>
      <c r="AF59" s="1311"/>
      <c r="AG59" s="1311"/>
      <c r="AH59" s="1311"/>
      <c r="AI59" s="1311"/>
      <c r="AJ59" s="1311"/>
      <c r="AK59" s="1311"/>
      <c r="AL59" s="1311"/>
      <c r="AM59" s="1311"/>
      <c r="AN59" s="1311"/>
      <c r="AO59" s="1311"/>
      <c r="AP59" s="1311"/>
      <c r="AQ59" s="1311"/>
      <c r="AR59" s="1311"/>
      <c r="AS59" s="1311"/>
      <c r="AT59" s="1311"/>
      <c r="AU59" s="1311"/>
      <c r="AV59" s="1311"/>
      <c r="AW59" s="1311"/>
      <c r="AX59" s="1311"/>
      <c r="AY59" s="1311"/>
      <c r="AZ59" s="1311"/>
      <c r="BA59" s="1311"/>
      <c r="BB59" s="1311"/>
      <c r="BC59" s="1312"/>
      <c r="BE59" s="436"/>
      <c r="BF59" s="436" t="str">
        <f t="shared" si="4"/>
        <v/>
      </c>
      <c r="BG59" s="436"/>
      <c r="BH59" s="436"/>
      <c r="BI59" s="447">
        <v>0</v>
      </c>
    </row>
    <row r="60" spans="1:61" s="1565" customFormat="1" ht="0" hidden="1" customHeight="1">
      <c r="A60" s="1266" t="s">
        <v>295</v>
      </c>
      <c r="B60" s="1266" t="s">
        <v>296</v>
      </c>
      <c r="C60" s="1266" t="s">
        <v>297</v>
      </c>
      <c r="D60" s="1237"/>
      <c r="E60" s="2507"/>
      <c r="F60" s="2507"/>
      <c r="G60" s="2506"/>
      <c r="H60" s="1237"/>
      <c r="I60" s="1237"/>
      <c r="J60" s="1237"/>
      <c r="K60" s="1237"/>
      <c r="L60" s="1417"/>
      <c r="M60" s="1238"/>
      <c r="N60" s="1238"/>
      <c r="P60" s="1239"/>
      <c r="Q60" s="1240"/>
      <c r="R60" s="1239"/>
      <c r="S60" s="1245"/>
      <c r="T60" s="1248"/>
      <c r="U60" s="1247"/>
      <c r="V60" s="1247"/>
      <c r="W60" s="1247"/>
      <c r="X60" s="1247"/>
      <c r="Y60" s="1247"/>
      <c r="Z60" s="1247"/>
      <c r="AA60" s="1247"/>
      <c r="AB60" s="1247"/>
      <c r="AC60" s="1247"/>
      <c r="AD60" s="1247"/>
      <c r="AE60" s="1247"/>
      <c r="AF60" s="1247"/>
      <c r="AG60" s="1247"/>
      <c r="AH60" s="1247"/>
      <c r="AI60" s="1247"/>
      <c r="AJ60" s="1247"/>
      <c r="AK60" s="1247"/>
      <c r="AL60" s="1247"/>
      <c r="AM60" s="1247"/>
      <c r="AN60" s="1247"/>
      <c r="AO60" s="1247"/>
      <c r="AP60" s="1247"/>
      <c r="AQ60" s="1247"/>
      <c r="AR60" s="1247"/>
      <c r="AS60" s="1247"/>
      <c r="AT60" s="1247"/>
      <c r="AU60" s="1247"/>
      <c r="AV60" s="1247"/>
      <c r="AW60" s="1247"/>
      <c r="AX60" s="1247"/>
      <c r="AY60" s="1247"/>
      <c r="AZ60" s="1247"/>
      <c r="BA60" s="1247"/>
      <c r="BB60" s="1247"/>
      <c r="BC60" s="1247"/>
      <c r="BE60" s="718"/>
      <c r="BF60" s="718" t="str">
        <f t="shared" si="4"/>
        <v/>
      </c>
      <c r="BG60" s="718"/>
      <c r="BH60" s="718"/>
      <c r="BI60" s="454">
        <v>0</v>
      </c>
    </row>
    <row r="61" spans="1:61" s="1565" customFormat="1" ht="0" hidden="1" customHeight="1">
      <c r="A61" s="1266" t="s">
        <v>295</v>
      </c>
      <c r="B61" s="1266" t="s">
        <v>296</v>
      </c>
      <c r="C61" s="1237"/>
      <c r="D61" s="1237"/>
      <c r="E61" s="2507"/>
      <c r="F61" s="2506"/>
      <c r="G61" s="1237"/>
      <c r="H61" s="1237"/>
      <c r="I61" s="1237"/>
      <c r="J61" s="1237"/>
      <c r="K61" s="1237"/>
      <c r="L61" s="1417"/>
      <c r="M61" s="1244"/>
      <c r="N61" s="1244"/>
      <c r="P61" s="1239"/>
      <c r="Q61" s="1240"/>
      <c r="R61" s="1239"/>
      <c r="S61" s="1245"/>
      <c r="T61" s="1248" t="s">
        <v>434</v>
      </c>
      <c r="U61" s="1247"/>
      <c r="V61" s="1247"/>
      <c r="W61" s="1247"/>
      <c r="X61" s="1247"/>
      <c r="Y61" s="1247"/>
      <c r="Z61" s="1247"/>
      <c r="AA61" s="1247"/>
      <c r="AB61" s="1247"/>
      <c r="AC61" s="1247"/>
      <c r="AD61" s="1247"/>
      <c r="AE61" s="1247"/>
      <c r="AF61" s="1247"/>
      <c r="AG61" s="1247"/>
      <c r="AH61" s="1247"/>
      <c r="AI61" s="1247"/>
      <c r="AJ61" s="1247"/>
      <c r="AK61" s="1247"/>
      <c r="AL61" s="1247"/>
      <c r="AM61" s="1247"/>
      <c r="AN61" s="1247"/>
      <c r="AO61" s="1247"/>
      <c r="AP61" s="1247"/>
      <c r="AQ61" s="1247"/>
      <c r="AR61" s="1247"/>
      <c r="AS61" s="1247"/>
      <c r="AT61" s="1247"/>
      <c r="AU61" s="1247"/>
      <c r="AV61" s="1247"/>
      <c r="AW61" s="1247"/>
      <c r="AX61" s="1247"/>
      <c r="AY61" s="1247"/>
      <c r="AZ61" s="1247"/>
      <c r="BA61" s="1247"/>
      <c r="BB61" s="1247"/>
      <c r="BC61" s="1247"/>
      <c r="BE61" s="718"/>
      <c r="BF61" s="718" t="str">
        <f t="shared" si="4"/>
        <v>Добавить централизованную систему для дифференциации</v>
      </c>
      <c r="BG61" s="718"/>
      <c r="BH61" s="718"/>
      <c r="BI61" s="454">
        <v>0</v>
      </c>
    </row>
    <row r="62" spans="1:61" s="1565" customFormat="1" ht="0" hidden="1" customHeight="1">
      <c r="A62" s="1266" t="s">
        <v>295</v>
      </c>
      <c r="B62" s="1266"/>
      <c r="C62" s="1266"/>
      <c r="D62" s="1266"/>
      <c r="E62" s="2506"/>
      <c r="F62" s="1266"/>
      <c r="G62" s="1266"/>
      <c r="H62" s="1266"/>
      <c r="I62" s="1266"/>
      <c r="J62" s="1266"/>
      <c r="K62" s="1266"/>
      <c r="L62" s="1269"/>
      <c r="M62" s="1244"/>
      <c r="N62" s="1244"/>
      <c r="O62" s="454"/>
      <c r="P62" s="316"/>
      <c r="Q62" s="1267"/>
      <c r="R62" s="316"/>
      <c r="S62" s="1245"/>
      <c r="T62" s="1248" t="s">
        <v>435</v>
      </c>
      <c r="U62" s="1247"/>
      <c r="V62" s="1247"/>
      <c r="W62" s="1247"/>
      <c r="X62" s="1247"/>
      <c r="Y62" s="1247"/>
      <c r="Z62" s="1247"/>
      <c r="AA62" s="1247"/>
      <c r="AB62" s="1247"/>
      <c r="AC62" s="1247"/>
      <c r="AD62" s="1247"/>
      <c r="AE62" s="1247"/>
      <c r="AF62" s="1247"/>
      <c r="AG62" s="1247"/>
      <c r="AH62" s="1247"/>
      <c r="AI62" s="1247"/>
      <c r="AJ62" s="1247"/>
      <c r="AK62" s="1247"/>
      <c r="AL62" s="1247"/>
      <c r="AM62" s="1247"/>
      <c r="AN62" s="1247"/>
      <c r="AO62" s="1247"/>
      <c r="AP62" s="1247"/>
      <c r="AQ62" s="1247"/>
      <c r="AR62" s="1247"/>
      <c r="AS62" s="1247"/>
      <c r="AT62" s="1247"/>
      <c r="AU62" s="1247"/>
      <c r="AV62" s="1247"/>
      <c r="AW62" s="1247"/>
      <c r="AX62" s="1247"/>
      <c r="AY62" s="1247"/>
      <c r="AZ62" s="1247"/>
      <c r="BA62" s="1247"/>
      <c r="BB62" s="1247"/>
      <c r="BC62" s="1247"/>
      <c r="BE62" s="436"/>
      <c r="BF62" s="436" t="str">
        <f t="shared" si="4"/>
        <v>Добавить территорию для дифференциации</v>
      </c>
      <c r="BG62" s="436"/>
      <c r="BH62" s="436"/>
      <c r="BI62" s="447">
        <v>0</v>
      </c>
    </row>
    <row r="63" spans="1:61" s="1565" customFormat="1" ht="0" hidden="1" customHeight="1">
      <c r="A63" s="1237"/>
      <c r="B63" s="1237"/>
      <c r="C63" s="1237"/>
      <c r="D63" s="1237"/>
      <c r="E63" s="1266"/>
      <c r="F63" s="1237"/>
      <c r="G63" s="1237"/>
      <c r="H63" s="1237"/>
      <c r="I63" s="1237"/>
      <c r="J63" s="1237"/>
      <c r="K63" s="1237"/>
      <c r="L63" s="1417"/>
      <c r="M63" s="1244"/>
      <c r="N63" s="1244"/>
      <c r="P63" s="1239"/>
      <c r="Q63" s="1240"/>
      <c r="R63" s="1239"/>
      <c r="S63" s="1245"/>
      <c r="T63" s="1248" t="s">
        <v>463</v>
      </c>
      <c r="U63" s="1247"/>
      <c r="V63" s="1247"/>
      <c r="W63" s="1247"/>
      <c r="X63" s="1247"/>
      <c r="Y63" s="1247"/>
      <c r="Z63" s="1247"/>
      <c r="AA63" s="1247"/>
      <c r="AB63" s="1247"/>
      <c r="AC63" s="1247"/>
      <c r="AD63" s="1247"/>
      <c r="AE63" s="1247"/>
      <c r="AF63" s="1247"/>
      <c r="AG63" s="1247"/>
      <c r="AH63" s="1247"/>
      <c r="AI63" s="1247"/>
      <c r="AJ63" s="1247"/>
      <c r="AK63" s="1247"/>
      <c r="AL63" s="1247"/>
      <c r="AM63" s="1247"/>
      <c r="AN63" s="1247"/>
      <c r="AO63" s="1247"/>
      <c r="AP63" s="1247"/>
      <c r="AQ63" s="1247"/>
      <c r="AR63" s="1247"/>
      <c r="AS63" s="1247"/>
      <c r="AT63" s="1247"/>
      <c r="AU63" s="1247"/>
      <c r="AV63" s="1247"/>
      <c r="AW63" s="1247"/>
      <c r="AX63" s="1247"/>
      <c r="AY63" s="1247"/>
      <c r="AZ63" s="1247"/>
      <c r="BA63" s="1247"/>
      <c r="BB63" s="1247"/>
      <c r="BC63" s="1247"/>
      <c r="BE63" s="718"/>
      <c r="BF63" s="718" t="str">
        <f t="shared" si="4"/>
        <v>Добавить наименование тарифа</v>
      </c>
      <c r="BG63" s="718"/>
      <c r="BH63" s="718"/>
      <c r="BI63" s="454">
        <v>0</v>
      </c>
    </row>
    <row r="64" spans="1:61" ht="11.45" customHeight="1">
      <c r="M64" s="1083"/>
      <c r="N64" s="1083"/>
      <c r="O64" s="473"/>
      <c r="P64" s="1083"/>
      <c r="Q64" s="1083"/>
      <c r="R64" s="1078"/>
      <c r="S64" s="1078"/>
      <c r="BD64" s="1078"/>
      <c r="BE64" s="1078"/>
      <c r="BF64" s="1078"/>
      <c r="BG64" s="1078"/>
      <c r="BH64" s="1078"/>
      <c r="BI64" s="1078">
        <v>11</v>
      </c>
    </row>
    <row r="65" spans="1:61" ht="14.65" customHeight="1">
      <c r="O65" s="473"/>
      <c r="S65" s="1176"/>
      <c r="T65" s="2526"/>
      <c r="U65" s="2526"/>
      <c r="V65" s="2526"/>
      <c r="W65" s="2526"/>
      <c r="X65" s="2526"/>
      <c r="Y65" s="2526"/>
      <c r="Z65" s="2526"/>
      <c r="AA65" s="2526"/>
      <c r="AB65" s="2526"/>
      <c r="AC65" s="2526"/>
      <c r="AD65" s="2526"/>
      <c r="AE65" s="2526"/>
      <c r="AF65" s="2526"/>
      <c r="AG65" s="2526"/>
      <c r="AH65" s="2526"/>
      <c r="AI65" s="2526"/>
      <c r="AJ65" s="2526"/>
      <c r="AK65" s="2526"/>
      <c r="AL65" s="2526"/>
      <c r="AM65" s="2526"/>
      <c r="AN65" s="2526"/>
      <c r="AO65" s="2526"/>
      <c r="AP65" s="2526"/>
      <c r="AQ65" s="2526"/>
      <c r="AR65" s="2526"/>
      <c r="AS65" s="2526"/>
      <c r="AT65" s="2526"/>
      <c r="AU65" s="2526"/>
      <c r="AV65" s="2526"/>
      <c r="AW65" s="2526"/>
      <c r="AX65" s="2526"/>
      <c r="AY65" s="2526"/>
      <c r="AZ65" s="2526"/>
      <c r="BA65" s="2526"/>
      <c r="BB65" s="2526"/>
      <c r="BC65" s="2526"/>
      <c r="BI65" s="1078">
        <v>14</v>
      </c>
    </row>
    <row r="66" spans="1:61" ht="14.65" customHeight="1">
      <c r="O66" s="473"/>
      <c r="T66" s="1403"/>
      <c r="U66" s="1403"/>
      <c r="V66" s="1403"/>
      <c r="W66" s="1403"/>
      <c r="X66" s="1403"/>
      <c r="Y66" s="1403"/>
      <c r="Z66" s="1403"/>
      <c r="AA66" s="1403"/>
      <c r="AB66" s="1403"/>
      <c r="AC66" s="1403"/>
      <c r="AD66" s="1403"/>
      <c r="AE66" s="1403"/>
      <c r="AF66" s="1403"/>
      <c r="AG66" s="1403"/>
      <c r="AH66" s="1403"/>
      <c r="AI66" s="1403"/>
      <c r="AJ66" s="1403"/>
      <c r="AK66" s="1403"/>
      <c r="AL66" s="1403"/>
      <c r="AM66" s="1403"/>
      <c r="AN66" s="1403"/>
      <c r="AO66" s="1403"/>
      <c r="AP66" s="1403"/>
      <c r="AQ66" s="1403"/>
      <c r="AR66" s="1403"/>
      <c r="AS66" s="1403"/>
      <c r="AT66" s="1403"/>
      <c r="AU66" s="1403"/>
      <c r="AV66" s="1403"/>
      <c r="AW66" s="1403"/>
      <c r="AX66" s="1403"/>
      <c r="AY66" s="1403"/>
      <c r="AZ66" s="1403"/>
      <c r="BA66" s="1403"/>
      <c r="BB66" s="1403"/>
      <c r="BC66" s="1403"/>
      <c r="BI66" s="1078">
        <v>14</v>
      </c>
    </row>
    <row r="67" spans="1:61" ht="14.65" customHeight="1">
      <c r="O67" s="473"/>
      <c r="S67" s="1176"/>
      <c r="T67" s="2526"/>
      <c r="U67" s="2526"/>
      <c r="V67" s="2526"/>
      <c r="W67" s="2526"/>
      <c r="X67" s="2526"/>
      <c r="Y67" s="2526"/>
      <c r="Z67" s="2526"/>
      <c r="AA67" s="2526"/>
      <c r="AB67" s="2526"/>
      <c r="AC67" s="2526"/>
      <c r="AD67" s="2526"/>
      <c r="AE67" s="2526"/>
      <c r="AF67" s="2526"/>
      <c r="AG67" s="2526"/>
      <c r="AH67" s="2526"/>
      <c r="AI67" s="2526"/>
      <c r="AJ67" s="2526"/>
      <c r="AK67" s="2526"/>
      <c r="AL67" s="2526"/>
      <c r="AM67" s="2526"/>
      <c r="AN67" s="2526"/>
      <c r="AO67" s="2526"/>
      <c r="AP67" s="2526"/>
      <c r="AQ67" s="2526"/>
      <c r="AR67" s="2526"/>
      <c r="AS67" s="2526"/>
      <c r="AT67" s="2526"/>
      <c r="AU67" s="2526"/>
      <c r="AV67" s="2526"/>
      <c r="AW67" s="2526"/>
      <c r="AX67" s="2526"/>
      <c r="AY67" s="2526"/>
      <c r="AZ67" s="2526"/>
      <c r="BA67" s="2526"/>
      <c r="BB67" s="2526"/>
      <c r="BC67" s="2526"/>
      <c r="BI67" s="1078">
        <v>14</v>
      </c>
    </row>
    <row r="68" spans="1:61" ht="14.65" customHeight="1">
      <c r="O68" s="473"/>
      <c r="BI68" s="1078">
        <v>14</v>
      </c>
    </row>
    <row r="69" spans="1:61" ht="14.25" hidden="1" customHeight="1">
      <c r="A69" s="1083" t="s">
        <v>83</v>
      </c>
      <c r="B69" s="1083">
        <v>0</v>
      </c>
      <c r="C69" s="1083">
        <v>0</v>
      </c>
      <c r="D69" s="1083">
        <v>0</v>
      </c>
      <c r="E69" s="1083">
        <v>0</v>
      </c>
      <c r="F69" s="1083">
        <v>0</v>
      </c>
      <c r="G69" s="1083">
        <v>0</v>
      </c>
      <c r="H69" s="1083">
        <v>0</v>
      </c>
      <c r="I69" s="1083">
        <v>0</v>
      </c>
      <c r="J69" s="1083">
        <v>0</v>
      </c>
      <c r="K69" s="1083">
        <v>0</v>
      </c>
      <c r="L69" s="1401">
        <v>0</v>
      </c>
      <c r="M69" s="1285">
        <v>0</v>
      </c>
      <c r="N69" s="1285">
        <v>0</v>
      </c>
      <c r="O69" s="1285">
        <v>0</v>
      </c>
      <c r="P69" s="1285">
        <v>0</v>
      </c>
      <c r="Q69" s="1294">
        <v>0</v>
      </c>
      <c r="R69" s="281">
        <v>3</v>
      </c>
      <c r="S69" s="517">
        <v>12</v>
      </c>
      <c r="T69" s="1078">
        <v>31</v>
      </c>
      <c r="U69" s="1078">
        <v>0</v>
      </c>
      <c r="V69" s="1078">
        <v>0</v>
      </c>
      <c r="W69" s="1078">
        <v>0</v>
      </c>
      <c r="X69" s="1078">
        <v>0</v>
      </c>
      <c r="Y69" s="1078">
        <v>0</v>
      </c>
      <c r="Z69" s="1078">
        <v>0</v>
      </c>
      <c r="AA69" s="1078">
        <v>0</v>
      </c>
      <c r="AB69" s="1078">
        <v>0</v>
      </c>
      <c r="AC69" s="1078">
        <v>0</v>
      </c>
      <c r="AD69" s="1078">
        <v>3</v>
      </c>
      <c r="AE69" s="1078">
        <v>3</v>
      </c>
      <c r="AF69" s="1078">
        <v>3</v>
      </c>
      <c r="AG69" s="1078">
        <v>24</v>
      </c>
      <c r="AH69" s="1078">
        <v>3</v>
      </c>
      <c r="AI69" s="1078">
        <v>3</v>
      </c>
      <c r="AJ69" s="1078">
        <v>3</v>
      </c>
      <c r="AK69" s="1078">
        <v>24</v>
      </c>
      <c r="AL69" s="1078">
        <v>3</v>
      </c>
      <c r="AM69" s="1078">
        <v>3</v>
      </c>
      <c r="AN69" s="1078">
        <v>3</v>
      </c>
      <c r="AO69" s="1078">
        <v>18</v>
      </c>
      <c r="AP69" s="1078">
        <v>3</v>
      </c>
      <c r="AQ69" s="1078">
        <v>3</v>
      </c>
      <c r="AR69" s="1078">
        <v>3</v>
      </c>
      <c r="AS69" s="1078">
        <v>18</v>
      </c>
      <c r="AT69" s="1078">
        <v>21</v>
      </c>
      <c r="AU69" s="1078">
        <v>21</v>
      </c>
      <c r="AV69" s="1078">
        <v>21</v>
      </c>
      <c r="AW69" s="1078">
        <v>21</v>
      </c>
      <c r="AX69" s="1078">
        <v>11</v>
      </c>
      <c r="AY69" s="1078">
        <v>3</v>
      </c>
      <c r="AZ69" s="1078">
        <v>11</v>
      </c>
      <c r="BA69" s="1078">
        <v>0</v>
      </c>
      <c r="BB69" s="1078">
        <v>4</v>
      </c>
      <c r="BC69" s="1078">
        <v>115</v>
      </c>
      <c r="BD69" s="447">
        <v>10</v>
      </c>
      <c r="BE69" s="447">
        <v>10</v>
      </c>
      <c r="BF69" s="447">
        <v>10</v>
      </c>
      <c r="BG69" s="447">
        <v>10</v>
      </c>
      <c r="BH69" s="447">
        <v>10</v>
      </c>
      <c r="BI69" s="1078">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34"/>
  <sheetViews>
    <sheetView showGridLines="0" zoomScale="90" workbookViewId="0">
      <pane xSplit="6" ySplit="11" topLeftCell="G12" activePane="bottomRight" state="frozen"/>
      <selection pane="topRight" activeCell="G1" sqref="G1"/>
      <selection pane="bottomLeft" activeCell="A12" sqref="A12"/>
      <selection pane="bottomRight" activeCell="G26" sqref="G26"/>
    </sheetView>
  </sheetViews>
  <sheetFormatPr defaultColWidth="9.140625" defaultRowHeight="14.25" customHeight="1"/>
  <cols>
    <col min="1" max="1" width="8" style="1558" hidden="1" customWidth="1"/>
    <col min="2" max="2" width="6" style="1289" hidden="1" customWidth="1"/>
    <col min="3" max="3" width="3" style="1558" customWidth="1"/>
    <col min="4" max="4" width="3" style="1759" customWidth="1"/>
    <col min="5" max="5" width="6" style="1558" customWidth="1"/>
    <col min="6" max="6" width="2.7109375" style="1558" hidden="1" customWidth="1"/>
    <col min="7" max="7" width="46.7109375" style="1558" customWidth="1"/>
    <col min="8" max="8" width="42" style="1558" customWidth="1"/>
    <col min="9" max="9" width="14" style="1558" customWidth="1"/>
    <col min="10" max="10" width="3" style="1547" customWidth="1"/>
    <col min="11" max="13" width="9.140625" style="1547" hidden="1"/>
    <col min="14" max="14" width="25.7109375" style="1547" hidden="1" customWidth="1"/>
    <col min="15" max="15" width="14.42578125" style="1547" hidden="1" customWidth="1"/>
    <col min="16" max="19" width="9.140625" style="162" hidden="1"/>
    <col min="20" max="27" width="9.140625" style="1558" hidden="1"/>
    <col min="28" max="28" width="8" style="1558" customWidth="1"/>
    <col min="29" max="29" width="9.140625" style="1558" hidden="1"/>
  </cols>
  <sheetData>
    <row r="1" spans="1:29" s="1565" customFormat="1" ht="5.25" hidden="1" customHeight="1">
      <c r="A1" s="432"/>
      <c r="B1" s="447"/>
      <c r="C1" s="447"/>
      <c r="D1" s="158"/>
      <c r="F1" s="447"/>
      <c r="G1" s="184" t="s">
        <v>84</v>
      </c>
      <c r="H1" s="430" t="s">
        <v>85</v>
      </c>
      <c r="I1" s="164" t="s">
        <v>86</v>
      </c>
      <c r="J1" s="184" t="s">
        <v>84</v>
      </c>
      <c r="K1" s="184"/>
      <c r="L1" s="184"/>
      <c r="M1" s="184"/>
      <c r="N1" s="185"/>
      <c r="O1" s="184"/>
      <c r="P1" s="184"/>
      <c r="Q1" s="184"/>
      <c r="R1" s="184"/>
      <c r="S1" s="184"/>
      <c r="T1" s="164"/>
      <c r="U1" s="164"/>
      <c r="V1" s="164"/>
      <c r="W1" s="164"/>
      <c r="X1" s="164"/>
      <c r="Y1" s="164"/>
      <c r="Z1" s="164"/>
      <c r="AA1" s="164"/>
      <c r="AB1" s="164"/>
      <c r="AC1" s="89" t="s">
        <v>14</v>
      </c>
    </row>
    <row r="2" spans="1:29" s="1335" customFormat="1" ht="11.25" customHeight="1">
      <c r="A2" s="760"/>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39" customFormat="1" ht="3" customHeight="1">
      <c r="A3" s="691"/>
      <c r="B3" s="353"/>
      <c r="C3" s="691"/>
      <c r="D3" s="101"/>
      <c r="E3" s="42"/>
      <c r="F3" s="445"/>
      <c r="G3" s="42"/>
      <c r="H3" s="42"/>
      <c r="I3" s="103"/>
      <c r="J3" s="184"/>
      <c r="K3" s="92"/>
      <c r="L3" s="92"/>
      <c r="M3" s="92"/>
      <c r="N3" s="163"/>
      <c r="O3" s="92"/>
      <c r="P3" s="162"/>
      <c r="Q3" s="162"/>
      <c r="R3" s="162"/>
      <c r="S3" s="162"/>
      <c r="AC3" s="55">
        <v>3</v>
      </c>
    </row>
    <row r="4" spans="1:29" s="1739" customFormat="1" ht="27.4" customHeight="1">
      <c r="A4" s="691"/>
      <c r="B4" s="353"/>
      <c r="C4" s="691"/>
      <c r="D4" s="101"/>
      <c r="E4" s="2355" t="str">
        <f>NameTemplatesInListMO</f>
        <v>Перечень муниципальных районов и муниципальных образований (территорий оказания услуг)</v>
      </c>
      <c r="F4" s="2355"/>
      <c r="G4" s="2355"/>
      <c r="H4" s="2355"/>
      <c r="I4" s="2355"/>
      <c r="J4" s="184"/>
      <c r="K4" s="92"/>
      <c r="L4" s="92"/>
      <c r="M4" s="92"/>
      <c r="N4" s="163"/>
      <c r="O4" s="92"/>
      <c r="P4" s="162"/>
      <c r="Q4" s="162"/>
      <c r="R4" s="162"/>
      <c r="S4" s="162"/>
      <c r="AC4" s="55">
        <v>26</v>
      </c>
    </row>
    <row r="5" spans="1:29" s="1739" customFormat="1" ht="3" customHeight="1">
      <c r="A5" s="691"/>
      <c r="B5" s="353"/>
      <c r="C5" s="691"/>
      <c r="D5" s="101"/>
      <c r="E5" s="42"/>
      <c r="F5" s="445"/>
      <c r="G5" s="104"/>
      <c r="H5" s="104"/>
      <c r="I5" s="105"/>
      <c r="J5" s="92"/>
      <c r="K5" s="92"/>
      <c r="L5" s="92"/>
      <c r="M5" s="92"/>
      <c r="N5" s="163"/>
      <c r="O5" s="92"/>
      <c r="P5" s="162"/>
      <c r="Q5" s="162"/>
      <c r="R5" s="162"/>
      <c r="S5" s="162"/>
      <c r="AC5" s="55">
        <v>3</v>
      </c>
    </row>
    <row r="6" spans="1:29" s="1739" customFormat="1" ht="20.25" hidden="1" customHeight="1">
      <c r="A6" s="766"/>
      <c r="B6" s="762"/>
      <c r="C6" s="106"/>
      <c r="D6" s="101"/>
      <c r="E6" s="709"/>
      <c r="F6" s="709"/>
      <c r="G6" s="104"/>
      <c r="H6" s="107"/>
      <c r="I6" s="107"/>
      <c r="J6" s="92"/>
      <c r="K6" s="92"/>
      <c r="L6" s="92"/>
      <c r="M6" s="92"/>
      <c r="N6" s="163"/>
      <c r="O6" s="92"/>
      <c r="P6" s="162"/>
      <c r="Q6" s="162"/>
      <c r="R6" s="162"/>
      <c r="S6" s="162"/>
      <c r="AC6" s="55">
        <v>0</v>
      </c>
    </row>
    <row r="7" spans="1:29" ht="25.5" hidden="1" customHeight="1">
      <c r="AC7" s="22">
        <v>0</v>
      </c>
    </row>
    <row r="8" spans="1:29" s="1739" customFormat="1" ht="14.65" customHeight="1">
      <c r="A8" s="691"/>
      <c r="B8" s="353"/>
      <c r="C8" s="691"/>
      <c r="D8" s="101"/>
      <c r="E8" s="2350" t="s">
        <v>87</v>
      </c>
      <c r="F8" s="2356"/>
      <c r="G8" s="2349"/>
      <c r="H8" s="2357" t="s">
        <v>88</v>
      </c>
      <c r="I8" s="2357"/>
      <c r="J8" s="92"/>
      <c r="K8" s="92"/>
      <c r="L8" s="92"/>
      <c r="M8" s="92"/>
      <c r="N8" s="163"/>
      <c r="O8" s="92"/>
      <c r="P8" s="162"/>
      <c r="Q8" s="162"/>
      <c r="R8" s="162"/>
      <c r="S8" s="162"/>
      <c r="AC8" s="55">
        <v>14</v>
      </c>
    </row>
    <row r="9" spans="1:29" s="1739" customFormat="1" ht="21" customHeight="1">
      <c r="A9" s="691"/>
      <c r="B9" s="353"/>
      <c r="C9" s="691"/>
      <c r="D9" s="101"/>
      <c r="E9" s="707" t="s">
        <v>89</v>
      </c>
      <c r="F9" s="707"/>
      <c r="G9" s="109" t="s">
        <v>90</v>
      </c>
      <c r="H9" s="109" t="s">
        <v>90</v>
      </c>
      <c r="I9" s="109" t="s">
        <v>86</v>
      </c>
      <c r="J9" s="92"/>
      <c r="K9" s="92"/>
      <c r="L9" s="92"/>
      <c r="M9" s="92"/>
      <c r="N9" s="163"/>
      <c r="O9" s="92"/>
      <c r="P9" s="162"/>
      <c r="Q9" s="162"/>
      <c r="R9" s="162"/>
      <c r="S9" s="162"/>
      <c r="AC9" s="55">
        <v>20</v>
      </c>
    </row>
    <row r="10" spans="1:29" ht="11.45" customHeight="1">
      <c r="D10" s="113"/>
      <c r="E10" s="708" t="s">
        <v>91</v>
      </c>
      <c r="F10" s="708"/>
      <c r="G10" s="160" t="s">
        <v>92</v>
      </c>
      <c r="H10" s="160" t="s">
        <v>93</v>
      </c>
      <c r="I10" s="160" t="s">
        <v>94</v>
      </c>
      <c r="J10" s="123"/>
      <c r="K10" s="123"/>
      <c r="L10" s="123"/>
      <c r="M10" s="123"/>
      <c r="N10" s="108"/>
      <c r="O10" s="123"/>
      <c r="P10" s="161"/>
      <c r="Q10" s="161"/>
      <c r="R10" s="161"/>
      <c r="S10" s="161"/>
      <c r="AC10" s="22">
        <v>11</v>
      </c>
    </row>
    <row r="11" spans="1:29" s="1739" customFormat="1" ht="1.1499999999999999" customHeight="1">
      <c r="A11" s="691"/>
      <c r="B11" s="353"/>
      <c r="C11" s="691"/>
      <c r="D11" s="101"/>
      <c r="E11" s="719"/>
      <c r="F11" s="719"/>
      <c r="G11" s="110"/>
      <c r="H11" s="110"/>
      <c r="I11" s="112"/>
      <c r="J11" s="186" t="s">
        <v>95</v>
      </c>
      <c r="K11" s="92"/>
      <c r="L11" s="92"/>
      <c r="M11" s="92" t="s">
        <v>96</v>
      </c>
      <c r="N11" s="163" t="s">
        <v>97</v>
      </c>
      <c r="O11" s="92" t="s">
        <v>98</v>
      </c>
      <c r="P11" s="162"/>
      <c r="Q11" s="162"/>
      <c r="R11" s="162"/>
      <c r="S11" s="162"/>
      <c r="AC11" s="55">
        <v>1</v>
      </c>
    </row>
    <row r="12" spans="1:29" s="1739" customFormat="1" ht="15" customHeight="1">
      <c r="A12" s="2353">
        <v>1</v>
      </c>
      <c r="B12" s="353"/>
      <c r="C12" s="691"/>
      <c r="D12" s="711"/>
      <c r="E12" s="156">
        <f>A12</f>
        <v>1</v>
      </c>
      <c r="F12" s="731" t="s">
        <v>99</v>
      </c>
      <c r="G12" s="476" t="str">
        <f>"Территория "&amp;E12</f>
        <v>Территория 1</v>
      </c>
      <c r="H12" s="721"/>
      <c r="I12" s="721"/>
      <c r="J12" s="718"/>
      <c r="K12" s="436"/>
      <c r="L12" s="436"/>
      <c r="M12" s="436"/>
      <c r="N12" s="163"/>
      <c r="O12" s="436"/>
      <c r="P12" s="162"/>
      <c r="Q12" s="162"/>
      <c r="R12" s="162"/>
      <c r="S12" s="162"/>
      <c r="AC12" s="443">
        <v>14</v>
      </c>
    </row>
    <row r="13" spans="1:29" s="1767" customFormat="1" ht="15.75" customHeight="1">
      <c r="A13" s="2353"/>
      <c r="B13" s="353">
        <v>1</v>
      </c>
      <c r="C13" s="353"/>
      <c r="D13" s="729"/>
      <c r="E13" s="710" t="str">
        <f>A12&amp;"."&amp;B13</f>
        <v>1.1</v>
      </c>
      <c r="F13" s="724" t="s">
        <v>100</v>
      </c>
      <c r="G13" s="722" t="s">
        <v>101</v>
      </c>
      <c r="H13" s="722" t="s">
        <v>101</v>
      </c>
      <c r="I13" s="720" t="s">
        <v>102</v>
      </c>
      <c r="J13" s="436" t="e">
        <f ca="1">MERGEVALUE(G13)</f>
        <v>#NAME?</v>
      </c>
      <c r="K13" s="447"/>
      <c r="L13" s="447"/>
      <c r="M13" s="436" t="str">
        <f t="array" ref="M13">IF(ISERROR(MATCH(MID(N13,1,250),MID(note_ter,1,250),0)),"n","y")</f>
        <v>n</v>
      </c>
      <c r="N13" s="447"/>
      <c r="O13" s="436" t="str">
        <f>H13&amp;"("&amp;I13&amp;")"</f>
        <v>Архангельск(11701000)</v>
      </c>
      <c r="P13" s="353"/>
      <c r="Q13" s="353"/>
      <c r="R13" s="356"/>
      <c r="S13" s="353"/>
      <c r="T13" s="353"/>
      <c r="U13" s="353"/>
      <c r="V13" s="358"/>
      <c r="W13" s="358"/>
      <c r="X13" s="355"/>
      <c r="Y13" s="355"/>
      <c r="Z13" s="355"/>
      <c r="AA13" s="355"/>
      <c r="AB13" s="355"/>
      <c r="AC13" s="359">
        <v>15</v>
      </c>
    </row>
    <row r="14" spans="1:29" ht="15" customHeight="1">
      <c r="A14" s="2354"/>
      <c r="B14" s="1289" t="s">
        <v>103</v>
      </c>
      <c r="C14" s="1289"/>
      <c r="D14" s="729" t="s">
        <v>104</v>
      </c>
      <c r="E14" s="1795" t="str">
        <f>A12&amp;"."&amp;B14</f>
        <v>1.2</v>
      </c>
      <c r="F14" s="1800" t="s">
        <v>105</v>
      </c>
      <c r="G14" s="1804" t="s">
        <v>106</v>
      </c>
      <c r="H14" s="1804" t="s">
        <v>107</v>
      </c>
      <c r="I14" s="1802" t="s">
        <v>108</v>
      </c>
      <c r="K14" s="1559"/>
      <c r="L14" s="1559"/>
      <c r="M14" s="1547" t="str">
        <f t="array" ref="M14">IF(ISERROR(MATCH(MID(N14,1,250),MID(note_ter,1,250),0)),"n","y")</f>
        <v>n</v>
      </c>
      <c r="N14" s="1559"/>
      <c r="O14" s="1547" t="str">
        <f>H14&amp;"("&amp;I14&amp;")"</f>
        <v>Талажское(11652460)</v>
      </c>
      <c r="P14" s="1289"/>
      <c r="Q14" s="1289"/>
      <c r="R14" s="356"/>
      <c r="S14" s="1289"/>
      <c r="T14" s="1289"/>
      <c r="U14" s="1289"/>
      <c r="V14" s="762"/>
      <c r="W14" s="762"/>
      <c r="X14" s="563"/>
      <c r="Y14" s="563"/>
      <c r="Z14" s="563"/>
      <c r="AA14" s="563"/>
      <c r="AB14" s="563"/>
      <c r="AC14" s="563"/>
    </row>
    <row r="15" spans="1:29" ht="15" customHeight="1">
      <c r="A15" s="2354"/>
      <c r="B15" s="1289" t="s">
        <v>91</v>
      </c>
      <c r="C15" s="1289"/>
      <c r="D15" s="729" t="s">
        <v>104</v>
      </c>
      <c r="E15" s="1795" t="str">
        <f>A12&amp;"."&amp;B15</f>
        <v>1.3</v>
      </c>
      <c r="F15" s="1800" t="s">
        <v>109</v>
      </c>
      <c r="G15" s="1804" t="s">
        <v>106</v>
      </c>
      <c r="H15" s="1804" t="s">
        <v>110</v>
      </c>
      <c r="I15" s="1802" t="s">
        <v>111</v>
      </c>
      <c r="K15" s="1559"/>
      <c r="L15" s="1559"/>
      <c r="M15" s="1547" t="str">
        <f t="array" ref="M15">IF(ISERROR(MATCH(MID(N15,1,250),MID(note_ter,1,250),0)),"n","y")</f>
        <v>n</v>
      </c>
      <c r="N15" s="1559"/>
      <c r="O15" s="1547" t="str">
        <f>H15&amp;"("&amp;I15&amp;")"</f>
        <v>Лисестровское(11652436)</v>
      </c>
      <c r="P15" s="1289"/>
      <c r="Q15" s="1289"/>
      <c r="R15" s="356"/>
      <c r="S15" s="1289"/>
      <c r="T15" s="1289"/>
      <c r="U15" s="1289"/>
      <c r="V15" s="762"/>
      <c r="W15" s="762"/>
      <c r="X15" s="563"/>
      <c r="Y15" s="563"/>
      <c r="Z15" s="563"/>
      <c r="AA15" s="563"/>
      <c r="AB15" s="563"/>
      <c r="AC15" s="563"/>
    </row>
    <row r="16" spans="1:29" s="1767" customFormat="1" ht="15.75" customHeight="1">
      <c r="A16" s="2353"/>
      <c r="B16" s="353"/>
      <c r="C16" s="348"/>
      <c r="D16" s="730"/>
      <c r="E16" s="357"/>
      <c r="F16" s="114"/>
      <c r="G16" s="351" t="s">
        <v>112</v>
      </c>
      <c r="H16" s="124"/>
      <c r="I16" s="360"/>
      <c r="J16" s="447"/>
      <c r="K16" s="447"/>
      <c r="L16" s="447"/>
      <c r="M16" s="447"/>
      <c r="N16" s="436"/>
      <c r="O16" s="447"/>
      <c r="P16" s="353"/>
      <c r="Q16" s="353"/>
      <c r="R16" s="356"/>
      <c r="S16" s="353"/>
      <c r="T16" s="353"/>
      <c r="U16" s="353"/>
      <c r="V16" s="358"/>
      <c r="W16" s="358"/>
      <c r="X16" s="355"/>
      <c r="Y16" s="355"/>
      <c r="Z16" s="355"/>
      <c r="AA16" s="355"/>
      <c r="AB16" s="355"/>
      <c r="AC16" s="359">
        <v>15</v>
      </c>
    </row>
    <row r="17" spans="1:29" ht="15" customHeight="1">
      <c r="A17" s="2354" t="s">
        <v>103</v>
      </c>
      <c r="B17" s="1083"/>
      <c r="C17" s="730" t="s">
        <v>104</v>
      </c>
      <c r="D17" s="1738"/>
      <c r="E17" s="1725" t="str">
        <f>A17</f>
        <v>2</v>
      </c>
      <c r="F17" s="733" t="s">
        <v>113</v>
      </c>
      <c r="G17" s="476" t="str">
        <f>"Территория "&amp;E17</f>
        <v>Территория 2</v>
      </c>
      <c r="H17" s="721"/>
      <c r="I17" s="721"/>
      <c r="J17" s="718"/>
      <c r="N17" s="163"/>
      <c r="T17" s="1739"/>
      <c r="U17" s="1739"/>
      <c r="V17" s="1739"/>
      <c r="W17" s="1739"/>
      <c r="X17" s="1739"/>
      <c r="Y17" s="1739"/>
      <c r="Z17" s="1739"/>
      <c r="AA17" s="1739"/>
      <c r="AB17" s="1739"/>
      <c r="AC17" s="1739"/>
    </row>
    <row r="18" spans="1:29" ht="15" customHeight="1">
      <c r="A18" s="2354"/>
      <c r="B18" s="1083">
        <v>1</v>
      </c>
      <c r="C18" s="1083"/>
      <c r="D18" s="729"/>
      <c r="E18" s="1733" t="str">
        <f>A17&amp;"."&amp;B18</f>
        <v>2.1</v>
      </c>
      <c r="F18" s="732" t="s">
        <v>114</v>
      </c>
      <c r="G18" s="722" t="s">
        <v>115</v>
      </c>
      <c r="H18" s="722" t="s">
        <v>115</v>
      </c>
      <c r="I18" s="720" t="s">
        <v>116</v>
      </c>
      <c r="K18" s="1559"/>
      <c r="L18" s="1559"/>
      <c r="M18" s="1547" t="str">
        <f t="array" ref="M18">IF(ISERROR(MATCH(MID(N18,1,250),MID(note_ter,1,250),0)),"n","y")</f>
        <v>n</v>
      </c>
      <c r="N18" s="1559"/>
      <c r="O18" s="1547" t="str">
        <f>H18&amp;"("&amp;I18&amp;")"</f>
        <v>Муниципальный округ "Город Северодвинск"(11503000)</v>
      </c>
      <c r="P18" s="1083"/>
      <c r="Q18" s="1083"/>
      <c r="R18" s="356"/>
      <c r="S18" s="1083"/>
      <c r="T18" s="1083"/>
      <c r="U18" s="1083"/>
      <c r="V18" s="358"/>
      <c r="W18" s="358"/>
      <c r="X18" s="355"/>
      <c r="Y18" s="355"/>
      <c r="Z18" s="355"/>
      <c r="AA18" s="355"/>
      <c r="AB18" s="355"/>
      <c r="AC18" s="355"/>
    </row>
    <row r="19" spans="1:29" ht="15" customHeight="1">
      <c r="A19" s="2354"/>
      <c r="B19" s="1083"/>
      <c r="C19" s="348"/>
      <c r="D19" s="730"/>
      <c r="E19" s="357"/>
      <c r="F19" s="114"/>
      <c r="G19" s="351" t="s">
        <v>112</v>
      </c>
      <c r="H19" s="124"/>
      <c r="I19" s="360"/>
      <c r="J19" s="1559"/>
      <c r="K19" s="1559"/>
      <c r="L19" s="1559"/>
      <c r="M19" s="1559"/>
      <c r="O19" s="1559"/>
      <c r="P19" s="1083"/>
      <c r="Q19" s="1083"/>
      <c r="R19" s="356"/>
      <c r="S19" s="1083"/>
      <c r="T19" s="1083"/>
      <c r="U19" s="1083"/>
      <c r="V19" s="358"/>
      <c r="W19" s="358"/>
      <c r="X19" s="355"/>
      <c r="Y19" s="355"/>
      <c r="Z19" s="355"/>
      <c r="AA19" s="355"/>
      <c r="AB19" s="355"/>
      <c r="AC19" s="355"/>
    </row>
    <row r="20" spans="1:29" s="1739" customFormat="1" ht="14.65" customHeight="1">
      <c r="A20" s="691"/>
      <c r="B20" s="353"/>
      <c r="C20" s="691"/>
      <c r="D20" s="711"/>
      <c r="E20" s="723"/>
      <c r="F20" s="115"/>
      <c r="G20" s="352" t="s">
        <v>117</v>
      </c>
      <c r="H20" s="115"/>
      <c r="I20" s="116"/>
      <c r="J20" s="186"/>
      <c r="K20" s="92"/>
      <c r="L20" s="92"/>
      <c r="M20" s="92"/>
      <c r="N20" s="163" t="s">
        <v>118</v>
      </c>
      <c r="O20" s="92"/>
      <c r="P20" s="162"/>
      <c r="Q20" s="162"/>
      <c r="R20" s="162"/>
      <c r="S20" s="162"/>
      <c r="AC20" s="55">
        <v>14</v>
      </c>
    </row>
    <row r="21" spans="1:29" s="1739" customFormat="1" ht="21.95" customHeight="1">
      <c r="A21" s="691"/>
      <c r="B21" s="353"/>
      <c r="C21" s="691"/>
      <c r="D21" s="102"/>
      <c r="E21" s="117"/>
      <c r="F21" s="117"/>
      <c r="G21" s="117"/>
      <c r="H21" s="117"/>
      <c r="I21" s="117"/>
      <c r="J21" s="92"/>
      <c r="K21" s="92"/>
      <c r="L21" s="92"/>
      <c r="M21" s="92"/>
      <c r="N21" s="163"/>
      <c r="O21" s="92"/>
      <c r="P21" s="162"/>
      <c r="Q21" s="162"/>
      <c r="R21" s="162"/>
      <c r="S21" s="162"/>
      <c r="AC21" s="55">
        <v>21</v>
      </c>
    </row>
    <row r="22" spans="1:29" s="1739" customFormat="1" ht="14.65" customHeight="1">
      <c r="A22" s="691"/>
      <c r="B22" s="353"/>
      <c r="C22" s="691"/>
      <c r="D22" s="102"/>
      <c r="E22" s="22"/>
      <c r="F22" s="691"/>
      <c r="G22" s="22"/>
      <c r="H22" s="22"/>
      <c r="I22" s="22"/>
      <c r="J22" s="92"/>
      <c r="K22" s="92"/>
      <c r="L22" s="92"/>
      <c r="M22" s="92"/>
      <c r="N22" s="163"/>
      <c r="O22" s="92"/>
      <c r="P22" s="162"/>
      <c r="Q22" s="162"/>
      <c r="R22" s="162"/>
      <c r="S22" s="162"/>
      <c r="AC22" s="55">
        <v>14</v>
      </c>
    </row>
    <row r="23" spans="1:29" s="1739" customFormat="1" ht="1.1499999999999999" customHeight="1">
      <c r="A23" s="691"/>
      <c r="B23" s="353"/>
      <c r="C23" s="691"/>
      <c r="D23" s="102"/>
      <c r="E23" s="22"/>
      <c r="F23" s="691"/>
      <c r="G23" s="22"/>
      <c r="H23" s="22"/>
      <c r="I23" s="22"/>
      <c r="J23" s="92"/>
      <c r="K23" s="92"/>
      <c r="L23" s="92"/>
      <c r="M23" s="92"/>
      <c r="N23" s="163"/>
      <c r="O23" s="92"/>
      <c r="P23" s="162"/>
      <c r="Q23" s="162"/>
      <c r="R23" s="162"/>
      <c r="S23" s="162"/>
      <c r="AC23" s="55">
        <v>1</v>
      </c>
    </row>
    <row r="24" spans="1:29" s="991" customFormat="1" ht="10.5" customHeight="1">
      <c r="B24" s="763"/>
      <c r="D24" s="119"/>
      <c r="J24" s="92"/>
      <c r="K24" s="92"/>
      <c r="L24" s="92"/>
      <c r="M24" s="92"/>
      <c r="N24" s="163"/>
      <c r="O24" s="92"/>
      <c r="P24" s="162"/>
      <c r="Q24" s="162"/>
      <c r="R24" s="162"/>
      <c r="S24" s="162"/>
      <c r="AC24" s="118">
        <v>10</v>
      </c>
    </row>
    <row r="25" spans="1:29" s="991" customFormat="1" ht="10.5" customHeight="1">
      <c r="B25" s="763"/>
      <c r="D25" s="119"/>
      <c r="J25" s="92"/>
      <c r="K25" s="92"/>
      <c r="L25" s="92"/>
      <c r="M25" s="92"/>
      <c r="N25" s="163"/>
      <c r="O25" s="92"/>
      <c r="P25" s="162"/>
      <c r="Q25" s="162"/>
      <c r="R25" s="162"/>
      <c r="S25" s="162"/>
      <c r="AC25" s="118">
        <v>10</v>
      </c>
    </row>
    <row r="26" spans="1:29" ht="14.65" customHeight="1">
      <c r="AC26" s="22">
        <v>14</v>
      </c>
    </row>
    <row r="27" spans="1:29" ht="14.65" customHeight="1">
      <c r="AC27" s="22">
        <v>14</v>
      </c>
    </row>
    <row r="28" spans="1:29" ht="14.65" customHeight="1">
      <c r="AC28" s="22">
        <v>14</v>
      </c>
    </row>
    <row r="29" spans="1:29" ht="14.65" customHeight="1">
      <c r="H29" s="3"/>
      <c r="AC29" s="22">
        <v>14</v>
      </c>
    </row>
    <row r="30" spans="1:29" ht="14.65" customHeight="1">
      <c r="AC30" s="22">
        <v>14</v>
      </c>
    </row>
    <row r="31" spans="1:29" ht="14.65" customHeight="1">
      <c r="AC31" s="22">
        <v>14</v>
      </c>
    </row>
    <row r="32" spans="1:29" ht="14.65" customHeight="1">
      <c r="AC32" s="22">
        <v>14</v>
      </c>
    </row>
    <row r="33" spans="1:29" ht="14.65" customHeight="1">
      <c r="J33" s="22"/>
      <c r="K33" s="22"/>
      <c r="L33" s="22"/>
      <c r="AC33" s="22">
        <v>14</v>
      </c>
    </row>
    <row r="34" spans="1:29" ht="22.5" hidden="1" customHeight="1">
      <c r="A34" s="691" t="s">
        <v>83</v>
      </c>
      <c r="B34" s="353">
        <v>0</v>
      </c>
      <c r="C34" s="691">
        <v>3</v>
      </c>
      <c r="D34" s="102">
        <v>3</v>
      </c>
      <c r="E34" s="22">
        <v>6</v>
      </c>
      <c r="F34" s="691">
        <v>0</v>
      </c>
      <c r="G34" s="22">
        <v>46</v>
      </c>
      <c r="H34" s="22">
        <v>42</v>
      </c>
      <c r="I34" s="22">
        <v>14</v>
      </c>
      <c r="J34" s="92">
        <v>3</v>
      </c>
      <c r="K34" s="92">
        <v>0</v>
      </c>
      <c r="L34" s="92">
        <v>0</v>
      </c>
      <c r="M34" s="92">
        <v>0</v>
      </c>
      <c r="N34" s="163">
        <v>0</v>
      </c>
      <c r="O34" s="92">
        <v>0</v>
      </c>
      <c r="P34" s="162">
        <v>0</v>
      </c>
      <c r="Q34" s="162">
        <v>0</v>
      </c>
      <c r="R34" s="162">
        <v>0</v>
      </c>
      <c r="S34" s="162">
        <v>0</v>
      </c>
      <c r="T34" s="22">
        <v>0</v>
      </c>
      <c r="U34" s="22">
        <v>0</v>
      </c>
      <c r="V34" s="22">
        <v>0</v>
      </c>
      <c r="W34" s="22">
        <v>0</v>
      </c>
      <c r="X34" s="22">
        <v>0</v>
      </c>
      <c r="Y34" s="22">
        <v>0</v>
      </c>
      <c r="Z34" s="22">
        <v>0</v>
      </c>
      <c r="AA34" s="22">
        <v>0</v>
      </c>
      <c r="AB34" s="22">
        <v>8</v>
      </c>
      <c r="AC34" s="22">
        <v>23</v>
      </c>
    </row>
  </sheetData>
  <sheetProtection formatColumns="0" formatRows="0" insertRows="0" deleteColumns="0" deleteRows="0" sort="0" autoFilter="0"/>
  <mergeCells count="5">
    <mergeCell ref="A12:A16"/>
    <mergeCell ref="E4:I4"/>
    <mergeCell ref="E8:G8"/>
    <mergeCell ref="H8:I8"/>
    <mergeCell ref="A17:A19"/>
  </mergeCells>
  <dataValidations count="2">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7">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4.140625" style="1289" hidden="1" customWidth="1"/>
    <col min="10" max="10" width="9.85546875" style="1289" hidden="1" customWidth="1"/>
    <col min="11" max="11" width="14.7109375" style="1289" hidden="1" customWidth="1"/>
    <col min="12" max="12" width="19.140625" style="2043" hidden="1" customWidth="1"/>
    <col min="13" max="14" width="12.28515625" style="1696" hidden="1" customWidth="1"/>
    <col min="15" max="15" width="23.42578125" style="1696" hidden="1" customWidth="1"/>
    <col min="16" max="16" width="3" style="2032" customWidth="1"/>
    <col min="17" max="18" width="3" style="281" customWidth="1"/>
    <col min="19" max="19" width="12" style="2033" customWidth="1"/>
    <col min="20" max="20" width="35" style="1558" customWidth="1"/>
    <col min="21" max="21" width="0.140625" style="1558" customWidth="1"/>
    <col min="22" max="28" width="19.7109375" style="1558" hidden="1" customWidth="1"/>
    <col min="29" max="29" width="11.7109375" style="1558" hidden="1" customWidth="1"/>
    <col min="30" max="30" width="3.7109375" style="1558" hidden="1" customWidth="1"/>
    <col min="31" max="31" width="11.7109375" style="1558" hidden="1" customWidth="1"/>
    <col min="32" max="32" width="8.5703125" style="1558" hidden="1" customWidth="1"/>
    <col min="33" max="33" width="19.7109375" style="1558" customWidth="1"/>
    <col min="34" max="39" width="19" style="1558" customWidth="1"/>
    <col min="40" max="40" width="11" style="1558" customWidth="1"/>
    <col min="41" max="41" width="3.7109375" style="1558" customWidth="1"/>
    <col min="42" max="42" width="11" style="1558" customWidth="1"/>
    <col min="43" max="43" width="8.5703125" style="1558" hidden="1" customWidth="1"/>
    <col min="44" max="44" width="4" style="1558" customWidth="1"/>
    <col min="45" max="45" width="115" style="1558" customWidth="1"/>
    <col min="46" max="50" width="10" style="1565" customWidth="1"/>
    <col min="51" max="51" width="10.5703125" style="1558" hidden="1"/>
  </cols>
  <sheetData>
    <row r="1" spans="1:51" ht="22.5" hidden="1" customHeight="1">
      <c r="AC1" s="264"/>
      <c r="AN1" s="264"/>
      <c r="AY1" s="1078" t="s">
        <v>14</v>
      </c>
    </row>
    <row r="2" spans="1:51" ht="23.25" hidden="1" customHeight="1">
      <c r="A2" s="1286"/>
      <c r="B2" s="1286"/>
      <c r="C2" s="1286"/>
      <c r="D2" s="1286"/>
      <c r="E2" s="2506">
        <v>1</v>
      </c>
      <c r="F2" s="1286"/>
      <c r="G2" s="1286"/>
      <c r="H2" s="1286"/>
      <c r="I2" s="1286"/>
      <c r="J2" s="1286"/>
      <c r="K2" s="1286"/>
      <c r="L2" s="1287"/>
      <c r="M2" s="1288"/>
      <c r="N2" s="1288"/>
      <c r="O2" s="1288"/>
      <c r="P2" s="297"/>
      <c r="Q2" s="296"/>
      <c r="R2" s="291"/>
      <c r="S2" s="1416" t="e">
        <f>INDEX(PT_DIFFERENTIATION_NUM_NTAR,MATCH(A2,PT_DIFFERENTIATION_NTAR_ID,0))</f>
        <v>#N/A</v>
      </c>
      <c r="T2" s="235" t="s">
        <v>144</v>
      </c>
      <c r="U2" s="237"/>
      <c r="V2" s="2492"/>
      <c r="W2" s="2493"/>
      <c r="X2" s="2493"/>
      <c r="Y2" s="2493"/>
      <c r="Z2" s="2493"/>
      <c r="AA2" s="2493"/>
      <c r="AB2" s="2493"/>
      <c r="AC2" s="2493"/>
      <c r="AD2" s="2493"/>
      <c r="AE2" s="2493"/>
      <c r="AF2" s="2494"/>
      <c r="AG2" s="2492" t="e">
        <f>INDEX(PT_DIFFERENTIATION_NTAR,MATCH(A2,PT_DIFFERENTIATION_NTAR_ID,0))</f>
        <v>#N/A</v>
      </c>
      <c r="AH2" s="2493"/>
      <c r="AI2" s="2493"/>
      <c r="AJ2" s="2493"/>
      <c r="AK2" s="2493"/>
      <c r="AL2" s="2493"/>
      <c r="AM2" s="2493"/>
      <c r="AN2" s="2493"/>
      <c r="AO2" s="2493"/>
      <c r="AP2" s="2493"/>
      <c r="AQ2" s="2493"/>
      <c r="AR2" s="2494"/>
      <c r="AS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78">
        <v>0</v>
      </c>
    </row>
    <row r="3" spans="1:51" ht="23.25" hidden="1" customHeight="1">
      <c r="A3" s="1286"/>
      <c r="B3" s="1286"/>
      <c r="C3" s="1286"/>
      <c r="D3" s="1286"/>
      <c r="E3" s="2507"/>
      <c r="F3" s="2506">
        <v>1</v>
      </c>
      <c r="G3" s="1286"/>
      <c r="H3" s="1286"/>
      <c r="I3" s="1286"/>
      <c r="J3" s="1286"/>
      <c r="K3" s="1286"/>
      <c r="L3" s="1287"/>
      <c r="M3" s="1288"/>
      <c r="N3" s="1288"/>
      <c r="O3" s="1288"/>
      <c r="P3" s="1410"/>
      <c r="Q3" s="288"/>
      <c r="R3" s="289"/>
      <c r="S3" s="1416" t="e">
        <f>INDEX(PT_DIFFERENTIATION_NUM_TER,MATCH(B3,PT_DIFFERENTIATION_TER_ID,0))</f>
        <v>#N/A</v>
      </c>
      <c r="T3" s="245" t="s">
        <v>416</v>
      </c>
      <c r="U3" s="237"/>
      <c r="V3" s="2492"/>
      <c r="W3" s="2493"/>
      <c r="X3" s="2493"/>
      <c r="Y3" s="2493"/>
      <c r="Z3" s="2493"/>
      <c r="AA3" s="2493"/>
      <c r="AB3" s="2493"/>
      <c r="AC3" s="2493"/>
      <c r="AD3" s="2493"/>
      <c r="AE3" s="2493"/>
      <c r="AF3" s="2494"/>
      <c r="AG3" s="2492" t="e">
        <f>INDEX(PT_DIFFERENTIATION_TER,MATCH(B3,PT_DIFFERENTIATION_TER_ID,0))</f>
        <v>#N/A</v>
      </c>
      <c r="AH3" s="2493"/>
      <c r="AI3" s="2493"/>
      <c r="AJ3" s="2493"/>
      <c r="AK3" s="2493"/>
      <c r="AL3" s="2493"/>
      <c r="AM3" s="2493"/>
      <c r="AN3" s="2493"/>
      <c r="AO3" s="2493"/>
      <c r="AP3" s="2493"/>
      <c r="AQ3" s="2493"/>
      <c r="AR3" s="2494"/>
      <c r="AS3" s="1181" t="s">
        <v>417</v>
      </c>
      <c r="AU3" s="436"/>
      <c r="AV3" s="436" t="str">
        <f t="shared" si="0"/>
        <v>Территория действия тарифа</v>
      </c>
      <c r="AW3" s="436"/>
      <c r="AX3" s="436"/>
      <c r="AY3" s="1078">
        <v>0</v>
      </c>
    </row>
    <row r="4" spans="1:51" ht="23.25" hidden="1" customHeight="1">
      <c r="A4" s="1286"/>
      <c r="B4" s="1286"/>
      <c r="C4" s="1286"/>
      <c r="D4" s="1286"/>
      <c r="E4" s="2507"/>
      <c r="F4" s="2507"/>
      <c r="G4" s="2506">
        <v>1</v>
      </c>
      <c r="H4" s="1286"/>
      <c r="I4" s="1286"/>
      <c r="J4" s="1286"/>
      <c r="K4" s="1286"/>
      <c r="L4" s="1287"/>
      <c r="M4" s="1288"/>
      <c r="N4" s="1288"/>
      <c r="O4" s="1288"/>
      <c r="P4" s="290"/>
      <c r="Q4" s="288"/>
      <c r="R4" s="289"/>
      <c r="S4" s="1416" t="e">
        <f>INDEX(PT_DIFFERENTIATION_NUM_CS,MATCH(C4,PT_DIFFERENTIATION_CS_ID,0))</f>
        <v>#N/A</v>
      </c>
      <c r="T4" s="246" t="s">
        <v>547</v>
      </c>
      <c r="U4" s="237"/>
      <c r="V4" s="2492"/>
      <c r="W4" s="2493"/>
      <c r="X4" s="2493"/>
      <c r="Y4" s="2493"/>
      <c r="Z4" s="2493"/>
      <c r="AA4" s="2493"/>
      <c r="AB4" s="2493"/>
      <c r="AC4" s="2493"/>
      <c r="AD4" s="2493"/>
      <c r="AE4" s="2493"/>
      <c r="AF4" s="2494"/>
      <c r="AG4" s="2492" t="e">
        <f>INDEX(PT_DIFFERENTIATION_CS,MATCH(C4,PT_DIFFERENTIATION_CS_ID,0))</f>
        <v>#N/A</v>
      </c>
      <c r="AH4" s="2493"/>
      <c r="AI4" s="2493"/>
      <c r="AJ4" s="2493"/>
      <c r="AK4" s="2493"/>
      <c r="AL4" s="2493"/>
      <c r="AM4" s="2493"/>
      <c r="AN4" s="2493"/>
      <c r="AO4" s="2493"/>
      <c r="AP4" s="2493"/>
      <c r="AQ4" s="2493"/>
      <c r="AR4" s="2494"/>
      <c r="AS4" s="1181" t="s">
        <v>548</v>
      </c>
      <c r="AU4" s="436"/>
      <c r="AV4" s="436" t="str">
        <f t="shared" si="0"/>
        <v>Наименование централизованной системы горячего водоснабжения</v>
      </c>
      <c r="AW4" s="436"/>
      <c r="AX4" s="436"/>
      <c r="AY4" s="1078">
        <v>0</v>
      </c>
    </row>
    <row r="5" spans="1:51" ht="23.25" hidden="1" customHeight="1">
      <c r="A5" s="1286"/>
      <c r="B5" s="1286"/>
      <c r="C5" s="1286"/>
      <c r="D5" s="1286"/>
      <c r="E5" s="2507"/>
      <c r="F5" s="2507"/>
      <c r="G5" s="2507"/>
      <c r="H5" s="2507"/>
      <c r="I5" s="2504" t="e">
        <f>S4&amp;".1"</f>
        <v>#N/A</v>
      </c>
      <c r="J5" s="1286"/>
      <c r="K5" s="1286"/>
      <c r="L5" s="1287"/>
      <c r="P5" s="2505">
        <v>1</v>
      </c>
      <c r="Q5" s="1404"/>
      <c r="R5" s="292"/>
      <c r="S5" s="1416" t="e">
        <f>$I5</f>
        <v>#N/A</v>
      </c>
      <c r="T5" s="222" t="s">
        <v>500</v>
      </c>
      <c r="U5" s="237"/>
      <c r="V5" s="2576"/>
      <c r="W5" s="2577"/>
      <c r="X5" s="2577"/>
      <c r="Y5" s="2577"/>
      <c r="Z5" s="2577"/>
      <c r="AA5" s="2577"/>
      <c r="AB5" s="2577"/>
      <c r="AC5" s="2577"/>
      <c r="AD5" s="2577"/>
      <c r="AE5" s="2577"/>
      <c r="AF5" s="2578"/>
      <c r="AG5" s="2579"/>
      <c r="AH5" s="2580"/>
      <c r="AI5" s="2580"/>
      <c r="AJ5" s="2580"/>
      <c r="AK5" s="2580"/>
      <c r="AL5" s="2580"/>
      <c r="AM5" s="2580"/>
      <c r="AN5" s="2580"/>
      <c r="AO5" s="2580"/>
      <c r="AP5" s="2580"/>
      <c r="AQ5" s="2580"/>
      <c r="AR5" s="2581"/>
      <c r="AS5" s="1181" t="s">
        <v>501</v>
      </c>
      <c r="AU5" s="436"/>
      <c r="AV5" s="436" t="str">
        <f t="shared" si="0"/>
        <v>Наименование признака дифференциации</v>
      </c>
      <c r="AW5" s="436"/>
      <c r="AX5" s="436"/>
      <c r="AY5" s="1078">
        <v>0</v>
      </c>
    </row>
    <row r="6" spans="1:51" ht="23.25" hidden="1" customHeight="1">
      <c r="A6" s="1286"/>
      <c r="B6" s="1286"/>
      <c r="C6" s="1286"/>
      <c r="D6" s="1286"/>
      <c r="E6" s="2507"/>
      <c r="F6" s="2507"/>
      <c r="G6" s="2507"/>
      <c r="H6" s="2507"/>
      <c r="I6" s="2527"/>
      <c r="J6" s="2504" t="e">
        <f>I5&amp;".1"</f>
        <v>#N/A</v>
      </c>
      <c r="K6" s="1286"/>
      <c r="L6" s="1287" t="s">
        <v>425</v>
      </c>
      <c r="P6" s="2505"/>
      <c r="Q6" s="2505">
        <v>1</v>
      </c>
      <c r="R6" s="293"/>
      <c r="S6" s="1416" t="e">
        <f>$J6</f>
        <v>#N/A</v>
      </c>
      <c r="T6" s="223" t="s">
        <v>426</v>
      </c>
      <c r="U6" s="237"/>
      <c r="V6" s="2495"/>
      <c r="W6" s="2496"/>
      <c r="X6" s="2496"/>
      <c r="Y6" s="2496"/>
      <c r="Z6" s="2496"/>
      <c r="AA6" s="2496"/>
      <c r="AB6" s="2496"/>
      <c r="AC6" s="2496"/>
      <c r="AD6" s="2496"/>
      <c r="AE6" s="2496"/>
      <c r="AF6" s="2497"/>
      <c r="AG6" s="2495"/>
      <c r="AH6" s="2496"/>
      <c r="AI6" s="2496"/>
      <c r="AJ6" s="2496"/>
      <c r="AK6" s="2496"/>
      <c r="AL6" s="2496"/>
      <c r="AM6" s="2496"/>
      <c r="AN6" s="2496"/>
      <c r="AO6" s="2496"/>
      <c r="AP6" s="2496"/>
      <c r="AQ6" s="2496"/>
      <c r="AR6" s="2497"/>
      <c r="AS6" s="1230" t="s">
        <v>502</v>
      </c>
      <c r="AU6" s="436"/>
      <c r="AV6" s="436" t="str">
        <f t="shared" si="0"/>
        <v>Группа потребителей</v>
      </c>
      <c r="AW6" s="436"/>
      <c r="AX6" s="436"/>
      <c r="AY6" s="1078">
        <v>0</v>
      </c>
    </row>
    <row r="7" spans="1:51" ht="23.25" hidden="1" customHeight="1">
      <c r="A7" s="1286"/>
      <c r="B7" s="1286"/>
      <c r="C7" s="1286"/>
      <c r="D7" s="1286"/>
      <c r="E7" s="2507"/>
      <c r="F7" s="2507"/>
      <c r="G7" s="2507"/>
      <c r="H7" s="2507"/>
      <c r="I7" s="2527"/>
      <c r="J7" s="2527"/>
      <c r="K7" s="2504" t="e">
        <f>J6&amp;".1"</f>
        <v>#N/A</v>
      </c>
      <c r="L7" s="1287"/>
      <c r="P7" s="2505"/>
      <c r="Q7" s="2505"/>
      <c r="R7" s="293">
        <v>1</v>
      </c>
      <c r="S7" s="1416" t="e">
        <f>$K7</f>
        <v>#N/A</v>
      </c>
      <c r="T7" s="1360"/>
      <c r="U7" s="237"/>
      <c r="V7" s="686"/>
      <c r="W7" s="686"/>
      <c r="X7" s="686"/>
      <c r="Y7" s="686"/>
      <c r="Z7" s="686"/>
      <c r="AA7" s="686"/>
      <c r="AB7" s="686"/>
      <c r="AC7" s="2509"/>
      <c r="AD7" s="2360" t="s">
        <v>63</v>
      </c>
      <c r="AE7" s="2509"/>
      <c r="AF7" s="2360" t="s">
        <v>63</v>
      </c>
      <c r="AG7" s="686"/>
      <c r="AH7" s="686"/>
      <c r="AI7" s="686"/>
      <c r="AJ7" s="686"/>
      <c r="AK7" s="686"/>
      <c r="AL7" s="686"/>
      <c r="AM7" s="686"/>
      <c r="AN7" s="2509"/>
      <c r="AO7" s="2360" t="s">
        <v>63</v>
      </c>
      <c r="AP7" s="2528"/>
      <c r="AQ7" s="2360" t="s">
        <v>63</v>
      </c>
      <c r="AR7" s="1361"/>
      <c r="AS7" s="257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78">
        <v>0</v>
      </c>
    </row>
    <row r="8" spans="1:51" ht="14.25" hidden="1" customHeight="1">
      <c r="A8" s="1286"/>
      <c r="B8" s="1286"/>
      <c r="C8" s="1286"/>
      <c r="D8" s="1286"/>
      <c r="E8" s="2507"/>
      <c r="F8" s="2507"/>
      <c r="G8" s="2507"/>
      <c r="H8" s="2507"/>
      <c r="I8" s="2527"/>
      <c r="J8" s="2527"/>
      <c r="K8" s="2504"/>
      <c r="L8" s="1287"/>
      <c r="P8" s="2505"/>
      <c r="Q8" s="2505"/>
      <c r="R8" s="293"/>
      <c r="S8" s="1413"/>
      <c r="T8" s="237"/>
      <c r="U8" s="237"/>
      <c r="V8" s="262"/>
      <c r="W8" s="262"/>
      <c r="X8" s="262"/>
      <c r="Y8" s="262"/>
      <c r="Z8" s="262"/>
      <c r="AA8" s="262"/>
      <c r="AB8" s="262"/>
      <c r="AC8" s="2510"/>
      <c r="AD8" s="2360"/>
      <c r="AE8" s="2510"/>
      <c r="AF8" s="2360"/>
      <c r="AG8" s="262"/>
      <c r="AH8" s="262"/>
      <c r="AI8" s="262"/>
      <c r="AJ8" s="262"/>
      <c r="AK8" s="262"/>
      <c r="AL8" s="262"/>
      <c r="AM8" s="262"/>
      <c r="AN8" s="2510"/>
      <c r="AO8" s="2360"/>
      <c r="AP8" s="2529"/>
      <c r="AQ8" s="2360"/>
      <c r="AR8" s="1362"/>
      <c r="AS8" s="2575"/>
      <c r="AU8" s="436"/>
      <c r="AV8" s="436" t="str">
        <f t="shared" si="0"/>
        <v/>
      </c>
      <c r="AW8" s="436"/>
      <c r="AX8" s="436"/>
      <c r="AY8" s="1078">
        <v>0</v>
      </c>
    </row>
    <row r="9" spans="1:51" ht="21" hidden="1" customHeight="1">
      <c r="A9" s="1286"/>
      <c r="B9" s="1286"/>
      <c r="C9" s="1286"/>
      <c r="D9" s="1286"/>
      <c r="E9" s="2507"/>
      <c r="F9" s="2507"/>
      <c r="G9" s="2507"/>
      <c r="H9" s="2507"/>
      <c r="I9" s="2527"/>
      <c r="J9" s="2504"/>
      <c r="K9" s="1286"/>
      <c r="L9" s="1287"/>
      <c r="P9" s="2505"/>
      <c r="Q9" s="2505"/>
      <c r="R9" s="292"/>
      <c r="S9" s="1201"/>
      <c r="T9" s="224" t="s">
        <v>503</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81" t="s">
        <v>504</v>
      </c>
      <c r="AU9" s="436"/>
      <c r="AV9" s="436" t="str">
        <f t="shared" si="0"/>
        <v>Добавить значение признака дифференциации</v>
      </c>
      <c r="AW9" s="436"/>
      <c r="AX9" s="436"/>
      <c r="AY9" s="1078">
        <v>0</v>
      </c>
    </row>
    <row r="10" spans="1:51" ht="21" hidden="1" customHeight="1">
      <c r="A10" s="1286"/>
      <c r="B10" s="1286"/>
      <c r="C10" s="1286"/>
      <c r="D10" s="1286"/>
      <c r="E10" s="2507"/>
      <c r="F10" s="2507"/>
      <c r="G10" s="2507"/>
      <c r="H10" s="2507"/>
      <c r="I10" s="2504"/>
      <c r="J10" s="1286"/>
      <c r="K10" s="1286"/>
      <c r="L10" s="1287"/>
      <c r="P10" s="2505"/>
      <c r="Q10" s="1404"/>
      <c r="R10" s="292"/>
      <c r="S10" s="1201"/>
      <c r="T10" s="301" t="s">
        <v>431</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63"/>
      <c r="AU10" s="436"/>
      <c r="AV10" s="436" t="str">
        <f t="shared" si="0"/>
        <v>Добавить группу потребителей</v>
      </c>
      <c r="AW10" s="436"/>
      <c r="AX10" s="436"/>
      <c r="AY10" s="1078">
        <v>0</v>
      </c>
    </row>
    <row r="11" spans="1:51" ht="21" hidden="1" customHeight="1">
      <c r="A11" s="1286"/>
      <c r="B11" s="1286"/>
      <c r="C11" s="1286"/>
      <c r="D11" s="1286"/>
      <c r="E11" s="2507"/>
      <c r="F11" s="2507"/>
      <c r="G11" s="2507"/>
      <c r="H11" s="2506"/>
      <c r="I11" s="1286"/>
      <c r="J11" s="1286"/>
      <c r="K11" s="1286"/>
      <c r="L11" s="1287"/>
      <c r="M11" s="1288"/>
      <c r="N11" s="1288"/>
      <c r="O11" s="473"/>
      <c r="P11" s="296"/>
      <c r="Q11" s="311"/>
      <c r="R11" s="291"/>
      <c r="S11" s="1201"/>
      <c r="T11" s="308" t="s">
        <v>505</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78">
        <v>0</v>
      </c>
    </row>
    <row r="12" spans="1:51" s="1565" customFormat="1" ht="14.25" hidden="1" customHeight="1">
      <c r="A12" s="1266"/>
      <c r="B12" s="1266"/>
      <c r="C12" s="1237"/>
      <c r="D12" s="1237"/>
      <c r="E12" s="2507"/>
      <c r="F12" s="2506"/>
      <c r="G12" s="1237"/>
      <c r="H12" s="1237"/>
      <c r="I12" s="1237"/>
      <c r="J12" s="1237"/>
      <c r="K12" s="1237"/>
      <c r="L12" s="1417"/>
      <c r="M12" s="1244"/>
      <c r="N12" s="1244"/>
      <c r="P12" s="1239"/>
      <c r="Q12" s="1240"/>
      <c r="R12" s="1239"/>
      <c r="S12" s="1245"/>
      <c r="T12" s="1248" t="s">
        <v>434</v>
      </c>
      <c r="U12" s="1247"/>
      <c r="V12" s="1247"/>
      <c r="W12" s="1247"/>
      <c r="X12" s="1247"/>
      <c r="Y12" s="1247"/>
      <c r="Z12" s="1247"/>
      <c r="AA12" s="1247"/>
      <c r="AB12" s="1247"/>
      <c r="AC12" s="1247"/>
      <c r="AD12" s="1247"/>
      <c r="AE12" s="1247"/>
      <c r="AF12" s="1247"/>
      <c r="AG12" s="1247"/>
      <c r="AH12" s="1247"/>
      <c r="AI12" s="1247"/>
      <c r="AJ12" s="1247"/>
      <c r="AK12" s="1247"/>
      <c r="AL12" s="1247"/>
      <c r="AM12" s="1247"/>
      <c r="AN12" s="1247"/>
      <c r="AO12" s="1247"/>
      <c r="AP12" s="1247"/>
      <c r="AQ12" s="1247"/>
      <c r="AR12" s="1247"/>
      <c r="AS12" s="1247"/>
      <c r="AU12" s="718"/>
      <c r="AV12" s="718" t="str">
        <f t="shared" si="0"/>
        <v>Добавить централизованную систему для дифференциации</v>
      </c>
      <c r="AW12" s="718"/>
      <c r="AX12" s="718"/>
      <c r="AY12" s="454">
        <v>0</v>
      </c>
    </row>
    <row r="13" spans="1:51" s="1565" customFormat="1" ht="14.25" hidden="1" customHeight="1">
      <c r="A13" s="1266"/>
      <c r="B13" s="1266"/>
      <c r="C13" s="1266"/>
      <c r="D13" s="1266"/>
      <c r="E13" s="2506"/>
      <c r="F13" s="1266"/>
      <c r="G13" s="1266"/>
      <c r="H13" s="1266"/>
      <c r="I13" s="1266"/>
      <c r="J13" s="1266"/>
      <c r="K13" s="1266"/>
      <c r="L13" s="1269"/>
      <c r="M13" s="1244"/>
      <c r="N13" s="1244"/>
      <c r="O13" s="454"/>
      <c r="P13" s="316"/>
      <c r="Q13" s="1267"/>
      <c r="R13" s="316"/>
      <c r="S13" s="1245"/>
      <c r="T13" s="1248" t="s">
        <v>435</v>
      </c>
      <c r="U13" s="1247"/>
      <c r="V13" s="1247"/>
      <c r="W13" s="1247"/>
      <c r="X13" s="1247"/>
      <c r="Y13" s="1247"/>
      <c r="Z13" s="1247"/>
      <c r="AA13" s="1247"/>
      <c r="AB13" s="1247"/>
      <c r="AC13" s="1247"/>
      <c r="AD13" s="1247"/>
      <c r="AE13" s="1247"/>
      <c r="AF13" s="1247"/>
      <c r="AG13" s="1247"/>
      <c r="AH13" s="1247"/>
      <c r="AI13" s="1247"/>
      <c r="AJ13" s="1247"/>
      <c r="AK13" s="1247"/>
      <c r="AL13" s="1247"/>
      <c r="AM13" s="1247"/>
      <c r="AN13" s="1247"/>
      <c r="AO13" s="1247"/>
      <c r="AP13" s="1247"/>
      <c r="AQ13" s="1247"/>
      <c r="AR13" s="1247"/>
      <c r="AS13" s="1247"/>
      <c r="AU13" s="436"/>
      <c r="AV13" s="436" t="str">
        <f t="shared" si="0"/>
        <v>Добавить территорию для дифференциации</v>
      </c>
      <c r="AW13" s="436"/>
      <c r="AX13" s="436"/>
      <c r="AY13" s="447">
        <v>0</v>
      </c>
    </row>
    <row r="14" spans="1:51" ht="14.25" hidden="1" customHeight="1">
      <c r="AF14" s="264"/>
      <c r="AQ14" s="264"/>
      <c r="AY14" s="1078">
        <v>0</v>
      </c>
    </row>
    <row r="15" spans="1:51" ht="14.25" hidden="1" customHeight="1">
      <c r="AG15" s="1283"/>
      <c r="AH15" s="1283"/>
      <c r="AI15" s="1283"/>
      <c r="AJ15" s="1283"/>
      <c r="AK15" s="1283"/>
      <c r="AL15" s="1283"/>
      <c r="AM15" s="1283"/>
      <c r="AN15" s="2511"/>
      <c r="AO15" s="2512" t="s">
        <v>63</v>
      </c>
      <c r="AP15" s="2511"/>
      <c r="AQ15" s="2512" t="s">
        <v>63</v>
      </c>
      <c r="AY15" s="1078">
        <v>0</v>
      </c>
    </row>
    <row r="16" spans="1:51" ht="14.25" hidden="1" customHeight="1">
      <c r="AG16" s="1283"/>
      <c r="AH16" s="1283"/>
      <c r="AI16" s="1283"/>
      <c r="AJ16" s="1283"/>
      <c r="AK16" s="1283"/>
      <c r="AL16" s="1283"/>
      <c r="AM16" s="1283"/>
      <c r="AN16" s="2512"/>
      <c r="AO16" s="2512"/>
      <c r="AP16" s="2512"/>
      <c r="AQ16" s="2512"/>
      <c r="AY16" s="1078">
        <v>0</v>
      </c>
    </row>
    <row r="17" spans="1:51" ht="14.25" hidden="1" customHeight="1">
      <c r="AQ17" s="264"/>
      <c r="AY17" s="1078">
        <v>0</v>
      </c>
    </row>
    <row r="18" spans="1:51" s="1289" customFormat="1" ht="22.5" hidden="1" customHeight="1">
      <c r="L18" s="1401"/>
      <c r="M18" s="1285"/>
      <c r="N18" s="1285"/>
      <c r="O18" s="1290" t="s">
        <v>436</v>
      </c>
      <c r="P18" s="1285"/>
      <c r="Q18" s="1294"/>
      <c r="R18" s="1294"/>
      <c r="S18" s="665"/>
      <c r="AC18" s="1290"/>
      <c r="AE18" s="1290"/>
      <c r="AN18" s="1290"/>
      <c r="AP18" s="1290"/>
      <c r="AT18" s="447"/>
      <c r="AU18" s="447"/>
      <c r="AV18" s="447"/>
      <c r="AW18" s="447"/>
      <c r="AX18" s="447"/>
      <c r="AY18" s="1083">
        <v>0</v>
      </c>
    </row>
    <row r="19" spans="1:51" s="1289" customFormat="1" ht="14.25" hidden="1" customHeight="1">
      <c r="L19" s="1401"/>
      <c r="M19" s="1285"/>
      <c r="N19" s="1285"/>
      <c r="O19" s="1285"/>
      <c r="P19" s="1285"/>
      <c r="Q19" s="1294"/>
      <c r="R19" s="1294"/>
      <c r="S19" s="665"/>
      <c r="AT19" s="447"/>
      <c r="AU19" s="447"/>
      <c r="AV19" s="447"/>
      <c r="AW19" s="447"/>
      <c r="AX19" s="447"/>
      <c r="AY19" s="1083">
        <v>0</v>
      </c>
    </row>
    <row r="20" spans="1:51" s="1289" customFormat="1" ht="12" hidden="1" customHeight="1">
      <c r="L20" s="1401"/>
      <c r="M20" s="1285"/>
      <c r="N20" s="1285"/>
      <c r="O20" s="1287" t="s">
        <v>437</v>
      </c>
      <c r="P20" s="1285"/>
      <c r="Q20" s="1365"/>
      <c r="R20" s="1365"/>
      <c r="S20" s="665"/>
      <c r="T20" s="1083" t="s">
        <v>438</v>
      </c>
      <c r="AD20" s="123" t="s">
        <v>439</v>
      </c>
      <c r="AF20" s="123" t="s">
        <v>440</v>
      </c>
      <c r="AG20" s="1083" t="s">
        <v>438</v>
      </c>
      <c r="AO20" s="123" t="s">
        <v>441</v>
      </c>
      <c r="AQ20" s="123" t="s">
        <v>440</v>
      </c>
      <c r="AY20" s="1083">
        <v>0</v>
      </c>
    </row>
    <row r="21" spans="1:51" ht="14.25" hidden="1" customHeight="1">
      <c r="O21" s="1287"/>
      <c r="AY21" s="1078">
        <v>0</v>
      </c>
    </row>
    <row r="22" spans="1:51" ht="14.25" hidden="1" customHeight="1">
      <c r="O22" s="1287"/>
      <c r="AY22" s="1078">
        <v>0</v>
      </c>
    </row>
    <row r="23" spans="1:51" ht="14.65" customHeight="1">
      <c r="Q23" s="312"/>
      <c r="R23" s="312"/>
      <c r="S23" s="1198"/>
      <c r="T23" s="299"/>
      <c r="U23" s="299"/>
      <c r="V23" s="445"/>
      <c r="AC23" s="445"/>
      <c r="AD23" s="445"/>
      <c r="AE23" s="445"/>
      <c r="AF23" s="445"/>
      <c r="AG23" s="445"/>
      <c r="AM23" s="445"/>
      <c r="AN23" s="445"/>
      <c r="AO23" s="445"/>
      <c r="AP23" s="445"/>
      <c r="AQ23" s="445"/>
      <c r="AY23" s="1078">
        <v>14</v>
      </c>
    </row>
    <row r="24" spans="1:51" ht="26.25" customHeight="1">
      <c r="Q24" s="312"/>
      <c r="R24" s="312"/>
      <c r="S24" s="249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490"/>
      <c r="U24" s="2490"/>
      <c r="V24" s="2490"/>
      <c r="W24" s="2490"/>
      <c r="X24" s="2490"/>
      <c r="Y24" s="2490"/>
      <c r="Z24" s="2490"/>
      <c r="AA24" s="2490"/>
      <c r="AB24" s="2490"/>
      <c r="AC24" s="2490"/>
      <c r="AD24" s="2490"/>
      <c r="AE24" s="2490"/>
      <c r="AF24" s="2490"/>
      <c r="AG24" s="2490"/>
      <c r="AH24" s="2490"/>
      <c r="AI24" s="2490"/>
      <c r="AJ24" s="2490"/>
      <c r="AK24" s="2490"/>
      <c r="AL24" s="2490"/>
      <c r="AM24" s="2490"/>
      <c r="AN24" s="2490"/>
      <c r="AO24" s="2490"/>
      <c r="AP24" s="2490"/>
      <c r="AQ24" s="1166"/>
      <c r="AY24" s="1078">
        <v>25</v>
      </c>
    </row>
    <row r="25" spans="1:51" ht="14.65" customHeight="1">
      <c r="Q25" s="312"/>
      <c r="R25" s="312"/>
      <c r="S25" s="2436" t="str">
        <f>IF(org=0,"Не определено",org)</f>
        <v>ПАО "ТГК-2"</v>
      </c>
      <c r="T25" s="2436"/>
      <c r="U25" s="2436"/>
      <c r="V25" s="2436"/>
      <c r="W25" s="2436"/>
      <c r="X25" s="2436"/>
      <c r="Y25" s="2436"/>
      <c r="Z25" s="2436"/>
      <c r="AA25" s="2436"/>
      <c r="AB25" s="2436"/>
      <c r="AC25" s="2436"/>
      <c r="AD25" s="2436"/>
      <c r="AE25" s="2436"/>
      <c r="AF25" s="2436"/>
      <c r="AG25" s="2436"/>
      <c r="AH25" s="2436"/>
      <c r="AI25" s="2436"/>
      <c r="AJ25" s="2436"/>
      <c r="AK25" s="2436"/>
      <c r="AL25" s="2436"/>
      <c r="AM25" s="2436"/>
      <c r="AN25" s="2436"/>
      <c r="AO25" s="2436"/>
      <c r="AP25" s="2436"/>
      <c r="AQ25" s="1166"/>
      <c r="AY25" s="1078">
        <v>14</v>
      </c>
    </row>
    <row r="26" spans="1:51" ht="14.25" hidden="1" customHeight="1">
      <c r="Q26" s="312"/>
      <c r="R26" s="312"/>
      <c r="S26" s="1198"/>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78">
        <v>0</v>
      </c>
    </row>
    <row r="27" spans="1:51" s="1770" customFormat="1" ht="25.5" hidden="1" customHeight="1">
      <c r="A27" s="1291"/>
      <c r="B27" s="1291"/>
      <c r="C27" s="1291"/>
      <c r="D27" s="1291"/>
      <c r="E27" s="1291"/>
      <c r="F27" s="1291"/>
      <c r="G27" s="1291"/>
      <c r="H27" s="1291"/>
      <c r="I27" s="1291"/>
      <c r="J27" s="1291"/>
      <c r="K27" s="1291"/>
      <c r="L27" s="1292"/>
      <c r="M27" s="1291"/>
      <c r="N27" s="1291"/>
      <c r="O27" s="1291"/>
      <c r="S27" s="249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498"/>
      <c r="U27" s="1295"/>
      <c r="V27" s="2499" t="str">
        <f>IF(TITLE_NAME_OR_PR_CHANGE="",IF(TITLE_NAME_OR_PR="","",TITLE_NAME_OR_PR),TITLE_NAME_OR_PR_CHANGE)</f>
        <v/>
      </c>
      <c r="W27" s="2499"/>
      <c r="X27" s="2499"/>
      <c r="Y27" s="2499"/>
      <c r="Z27" s="2499"/>
      <c r="AA27" s="2499"/>
      <c r="AB27" s="2499"/>
      <c r="AC27" s="2499"/>
      <c r="AD27" s="2499"/>
      <c r="AE27" s="2499"/>
      <c r="AF27" s="263"/>
      <c r="AG27" s="2499" t="str">
        <f>IF(TITLE_NAME_OR_PR_CHANGE="",IF(TITLE_NAME_OR_PR="","",TITLE_NAME_OR_PR),TITLE_NAME_OR_PR_CHANGE)</f>
        <v/>
      </c>
      <c r="AH27" s="2499"/>
      <c r="AI27" s="2499"/>
      <c r="AJ27" s="2499"/>
      <c r="AK27" s="2499"/>
      <c r="AL27" s="2499"/>
      <c r="AM27" s="2499"/>
      <c r="AN27" s="2499"/>
      <c r="AO27" s="2499"/>
      <c r="AP27" s="2499"/>
      <c r="AQ27" s="263"/>
      <c r="AR27" s="263"/>
      <c r="AS27" s="217"/>
      <c r="AT27" s="304"/>
      <c r="AU27" s="304"/>
      <c r="AV27" s="304"/>
      <c r="AW27" s="304"/>
      <c r="AX27" s="304"/>
      <c r="AY27" s="354">
        <v>0</v>
      </c>
    </row>
    <row r="28" spans="1:51" s="1770" customFormat="1" ht="18.75" hidden="1" customHeight="1">
      <c r="A28" s="1291"/>
      <c r="B28" s="1291"/>
      <c r="C28" s="1291"/>
      <c r="D28" s="1291"/>
      <c r="E28" s="1291"/>
      <c r="F28" s="1291"/>
      <c r="G28" s="1291"/>
      <c r="H28" s="1291"/>
      <c r="I28" s="1291"/>
      <c r="J28" s="1291"/>
      <c r="K28" s="1291"/>
      <c r="L28" s="1292"/>
      <c r="M28" s="1291"/>
      <c r="N28" s="1291"/>
      <c r="O28" s="1291"/>
      <c r="S28" s="2498" t="str">
        <f>"Дата документа об "&amp;IF(TITLE_DATE_PR_CHANGE="","утверждении","изменении")&amp;" тарифов"</f>
        <v>Дата документа об утверждении тарифов</v>
      </c>
      <c r="T28" s="2498"/>
      <c r="U28" s="1295"/>
      <c r="V28" s="2508" t="str">
        <f>IF(TITLE_DATE_PR_CHANGE="",IF(TITLE_DATE_PR="","",TITLE_DATE_PR),TITLE_DATE_PR_CHANGE)</f>
        <v/>
      </c>
      <c r="W28" s="2508"/>
      <c r="X28" s="2508"/>
      <c r="Y28" s="2508"/>
      <c r="Z28" s="2508"/>
      <c r="AA28" s="2508"/>
      <c r="AB28" s="2508"/>
      <c r="AC28" s="2508"/>
      <c r="AD28" s="2508"/>
      <c r="AE28" s="2508"/>
      <c r="AF28" s="263"/>
      <c r="AG28" s="2508" t="str">
        <f>IF(TITLE_DATE_PR_CHANGE="",IF(TITLE_DATE_PR="","",TITLE_DATE_PR),TITLE_DATE_PR_CHANGE)</f>
        <v/>
      </c>
      <c r="AH28" s="2508"/>
      <c r="AI28" s="2508"/>
      <c r="AJ28" s="2508"/>
      <c r="AK28" s="2508"/>
      <c r="AL28" s="2508"/>
      <c r="AM28" s="2508"/>
      <c r="AN28" s="2508"/>
      <c r="AO28" s="2508"/>
      <c r="AP28" s="2508"/>
      <c r="AQ28" s="263"/>
      <c r="AR28" s="263"/>
      <c r="AS28" s="217"/>
      <c r="AT28" s="304"/>
      <c r="AU28" s="304"/>
      <c r="AV28" s="304"/>
      <c r="AW28" s="304"/>
      <c r="AX28" s="304"/>
      <c r="AY28" s="354">
        <v>0</v>
      </c>
    </row>
    <row r="29" spans="1:51" s="1770" customFormat="1" ht="18.75" hidden="1" customHeight="1">
      <c r="A29" s="1291"/>
      <c r="B29" s="1291"/>
      <c r="C29" s="1291"/>
      <c r="D29" s="1291"/>
      <c r="E29" s="1291"/>
      <c r="F29" s="1291"/>
      <c r="G29" s="1291"/>
      <c r="H29" s="1291"/>
      <c r="I29" s="1291"/>
      <c r="J29" s="1291"/>
      <c r="K29" s="1291"/>
      <c r="L29" s="1292"/>
      <c r="M29" s="1291"/>
      <c r="N29" s="1291"/>
      <c r="O29" s="1291"/>
      <c r="S29" s="2498" t="str">
        <f>"Номер документа об "&amp;IF(TITLE_DATE_PR_CHANGE="","утверждении","изменении")&amp;" тарифов"</f>
        <v>Номер документа об утверждении тарифов</v>
      </c>
      <c r="T29" s="2498"/>
      <c r="U29" s="1295"/>
      <c r="V29" s="2499" t="str">
        <f>IF(TITLE_NUMBER_PR_CHANGE="",IF(TITLE_NUMBER_PR="","",TITLE_NUMBER_PR),TITLE_NUMBER_PR_CHANGE)</f>
        <v/>
      </c>
      <c r="W29" s="2499"/>
      <c r="X29" s="2499"/>
      <c r="Y29" s="2499"/>
      <c r="Z29" s="2499"/>
      <c r="AA29" s="2499"/>
      <c r="AB29" s="2499"/>
      <c r="AC29" s="2499"/>
      <c r="AD29" s="2499"/>
      <c r="AE29" s="2499"/>
      <c r="AF29" s="263"/>
      <c r="AG29" s="2499" t="str">
        <f>IF(TITLE_NUMBER_PR_CHANGE="",IF(TITLE_NUMBER_PR="","",TITLE_NUMBER_PR),TITLE_NUMBER_PR_CHANGE)</f>
        <v/>
      </c>
      <c r="AH29" s="2499"/>
      <c r="AI29" s="2499"/>
      <c r="AJ29" s="2499"/>
      <c r="AK29" s="2499"/>
      <c r="AL29" s="2499"/>
      <c r="AM29" s="2499"/>
      <c r="AN29" s="2499"/>
      <c r="AO29" s="2499"/>
      <c r="AP29" s="2499"/>
      <c r="AQ29" s="263"/>
      <c r="AR29" s="263"/>
      <c r="AS29" s="217"/>
      <c r="AT29" s="304"/>
      <c r="AU29" s="304"/>
      <c r="AV29" s="304"/>
      <c r="AW29" s="304"/>
      <c r="AX29" s="304"/>
      <c r="AY29" s="354">
        <v>0</v>
      </c>
    </row>
    <row r="30" spans="1:51" s="1770" customFormat="1" ht="18.75" hidden="1" customHeight="1">
      <c r="A30" s="1291"/>
      <c r="B30" s="1291"/>
      <c r="C30" s="1291"/>
      <c r="D30" s="1291"/>
      <c r="E30" s="1291"/>
      <c r="F30" s="1291"/>
      <c r="G30" s="1291"/>
      <c r="H30" s="1291"/>
      <c r="I30" s="1291"/>
      <c r="J30" s="1291"/>
      <c r="K30" s="1291"/>
      <c r="L30" s="1292"/>
      <c r="M30" s="1291"/>
      <c r="N30" s="1291"/>
      <c r="O30" s="1291"/>
      <c r="S30" s="2498" t="s">
        <v>43</v>
      </c>
      <c r="T30" s="2498"/>
      <c r="U30" s="1295"/>
      <c r="V30" s="2499" t="str">
        <f>IF(TITLE_IST_PUB_CHANGE="",IF(TITLE_IST_PUB="","",TITLE_IST_PUB),TITLE_IST_PUB_CHANGE)</f>
        <v/>
      </c>
      <c r="W30" s="2499"/>
      <c r="X30" s="2499"/>
      <c r="Y30" s="2499"/>
      <c r="Z30" s="2499"/>
      <c r="AA30" s="2499"/>
      <c r="AB30" s="2499"/>
      <c r="AC30" s="2499"/>
      <c r="AD30" s="2499"/>
      <c r="AE30" s="2499"/>
      <c r="AF30" s="263"/>
      <c r="AG30" s="2499" t="str">
        <f>IF(TITLE_IST_PUB_CHANGE="",IF(TITLE_IST_PUB="","",TITLE_IST_PUB),TITLE_IST_PUB_CHANGE)</f>
        <v/>
      </c>
      <c r="AH30" s="2499"/>
      <c r="AI30" s="2499"/>
      <c r="AJ30" s="2499"/>
      <c r="AK30" s="2499"/>
      <c r="AL30" s="2499"/>
      <c r="AM30" s="2499"/>
      <c r="AN30" s="2499"/>
      <c r="AO30" s="2499"/>
      <c r="AP30" s="2499"/>
      <c r="AQ30" s="263"/>
      <c r="AR30" s="263"/>
      <c r="AS30" s="217"/>
      <c r="AT30" s="304"/>
      <c r="AU30" s="304"/>
      <c r="AV30" s="304"/>
      <c r="AW30" s="304"/>
      <c r="AX30" s="304"/>
      <c r="AY30" s="354">
        <v>0</v>
      </c>
    </row>
    <row r="31" spans="1:51" ht="14.25" hidden="1" customHeight="1">
      <c r="Q31" s="312"/>
      <c r="R31" s="312"/>
      <c r="S31" s="1198"/>
      <c r="T31" s="393"/>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78">
        <v>0</v>
      </c>
    </row>
    <row r="32" spans="1:51" s="1770" customFormat="1" ht="18.75" hidden="1" customHeight="1">
      <c r="A32" s="1291"/>
      <c r="B32" s="1291"/>
      <c r="C32" s="1291"/>
      <c r="D32" s="1291"/>
      <c r="E32" s="1291"/>
      <c r="F32" s="1291"/>
      <c r="G32" s="1291"/>
      <c r="H32" s="1291"/>
      <c r="I32" s="1291"/>
      <c r="J32" s="1291"/>
      <c r="K32" s="1291"/>
      <c r="L32" s="1292"/>
      <c r="M32" s="1291"/>
      <c r="N32" s="1291"/>
      <c r="O32" s="1291"/>
      <c r="S32" s="2498" t="str">
        <f>"Дата подачи заявления об "&amp;IF(TITLE_DATE_PR_CHANGE="","утверждении","изменении")&amp;" тарифов"</f>
        <v>Дата подачи заявления об утверждении тарифов</v>
      </c>
      <c r="T32" s="2498"/>
      <c r="U32" s="1295"/>
      <c r="V32" s="2508" t="str">
        <f>IF(TITLE_DATE_PR_CHANGE="",IF(TITLE_DATE_PR="","",TITLE_DATE_PR),TITLE_DATE_PR_CHANGE)</f>
        <v/>
      </c>
      <c r="W32" s="2508"/>
      <c r="X32" s="2508"/>
      <c r="Y32" s="2508"/>
      <c r="Z32" s="2508"/>
      <c r="AA32" s="2508"/>
      <c r="AB32" s="2508"/>
      <c r="AC32" s="2508"/>
      <c r="AD32" s="2508"/>
      <c r="AE32" s="2508"/>
      <c r="AF32" s="263"/>
      <c r="AG32" s="2508" t="str">
        <f>IF(TITLE_DATE_PR_CHANGE="",IF(TITLE_DATE_PR="","",TITLE_DATE_PR),TITLE_DATE_PR_CHANGE)</f>
        <v/>
      </c>
      <c r="AH32" s="2508"/>
      <c r="AI32" s="2508"/>
      <c r="AJ32" s="2508"/>
      <c r="AK32" s="2508"/>
      <c r="AL32" s="2508"/>
      <c r="AM32" s="2508"/>
      <c r="AN32" s="2508"/>
      <c r="AO32" s="2508"/>
      <c r="AP32" s="2508"/>
      <c r="AQ32" s="263"/>
      <c r="AR32" s="263"/>
      <c r="AS32" s="217"/>
      <c r="AT32" s="304"/>
      <c r="AU32" s="304"/>
      <c r="AV32" s="304"/>
      <c r="AW32" s="304"/>
      <c r="AX32" s="304"/>
      <c r="AY32" s="354">
        <v>0</v>
      </c>
    </row>
    <row r="33" spans="1:51" s="1770" customFormat="1" ht="18.75" hidden="1" customHeight="1">
      <c r="A33" s="1291"/>
      <c r="B33" s="1291"/>
      <c r="C33" s="1291"/>
      <c r="D33" s="1291"/>
      <c r="E33" s="1291"/>
      <c r="F33" s="1291"/>
      <c r="G33" s="1291"/>
      <c r="H33" s="1291"/>
      <c r="I33" s="1291"/>
      <c r="J33" s="1291"/>
      <c r="K33" s="1291"/>
      <c r="L33" s="1292"/>
      <c r="M33" s="1291"/>
      <c r="N33" s="1291"/>
      <c r="O33" s="1291"/>
      <c r="S33" s="2498" t="str">
        <f>"Номер подачи заявления об "&amp;IF(TITLE_DATE_PR_CHANGE="","утверждении","изменении")&amp;" тарифов"</f>
        <v>Номер подачи заявления об утверждении тарифов</v>
      </c>
      <c r="T33" s="2498"/>
      <c r="U33" s="1295"/>
      <c r="V33" s="2499" t="str">
        <f>IF(TITLE_NUMBER_PR_CHANGE="",IF(TITLE_NUMBER_PR="","",TITLE_NUMBER_PR),TITLE_NUMBER_PR_CHANGE)</f>
        <v/>
      </c>
      <c r="W33" s="2499"/>
      <c r="X33" s="2499"/>
      <c r="Y33" s="2499"/>
      <c r="Z33" s="2499"/>
      <c r="AA33" s="2499"/>
      <c r="AB33" s="2499"/>
      <c r="AC33" s="2499"/>
      <c r="AD33" s="2499"/>
      <c r="AE33" s="2499"/>
      <c r="AF33" s="263"/>
      <c r="AG33" s="2499" t="str">
        <f>IF(TITLE_NUMBER_PR_CHANGE="",IF(TITLE_NUMBER_PR="","",TITLE_NUMBER_PR),TITLE_NUMBER_PR_CHANGE)</f>
        <v/>
      </c>
      <c r="AH33" s="2499"/>
      <c r="AI33" s="2499"/>
      <c r="AJ33" s="2499"/>
      <c r="AK33" s="2499"/>
      <c r="AL33" s="2499"/>
      <c r="AM33" s="2499"/>
      <c r="AN33" s="2499"/>
      <c r="AO33" s="2499"/>
      <c r="AP33" s="2499"/>
      <c r="AQ33" s="263"/>
      <c r="AR33" s="263"/>
      <c r="AS33" s="217"/>
      <c r="AT33" s="304"/>
      <c r="AU33" s="304"/>
      <c r="AV33" s="304"/>
      <c r="AW33" s="304"/>
      <c r="AX33" s="304"/>
      <c r="AY33" s="354">
        <v>0</v>
      </c>
    </row>
    <row r="34" spans="1:51" s="1770" customFormat="1" ht="1.1499999999999999" customHeight="1">
      <c r="A34" s="1291"/>
      <c r="B34" s="1291"/>
      <c r="C34" s="1291"/>
      <c r="D34" s="1291"/>
      <c r="E34" s="1291"/>
      <c r="F34" s="1291"/>
      <c r="G34" s="1291"/>
      <c r="H34" s="1291"/>
      <c r="I34" s="1291"/>
      <c r="J34" s="1291"/>
      <c r="K34" s="1291"/>
      <c r="L34" s="1292"/>
      <c r="M34" s="1291"/>
      <c r="N34" s="1291"/>
      <c r="O34" s="1291"/>
      <c r="S34" s="260"/>
      <c r="T34" s="260"/>
      <c r="U34" s="1411"/>
      <c r="V34" s="263"/>
      <c r="W34" s="1558"/>
      <c r="X34" s="1558"/>
      <c r="Y34" s="1558"/>
      <c r="Z34" s="1558"/>
      <c r="AA34" s="1558"/>
      <c r="AB34" s="1558"/>
      <c r="AC34" s="263"/>
      <c r="AD34" s="263"/>
      <c r="AE34" s="263"/>
      <c r="AF34" s="215" t="s">
        <v>442</v>
      </c>
      <c r="AG34" s="263"/>
      <c r="AH34" s="1558"/>
      <c r="AI34" s="1558"/>
      <c r="AJ34" s="1558"/>
      <c r="AK34" s="1558"/>
      <c r="AL34" s="1558"/>
      <c r="AM34" s="263"/>
      <c r="AN34" s="263"/>
      <c r="AO34" s="263"/>
      <c r="AP34" s="263"/>
      <c r="AQ34" s="215" t="s">
        <v>442</v>
      </c>
      <c r="AT34" s="304"/>
      <c r="AU34" s="304"/>
      <c r="AV34" s="304"/>
      <c r="AW34" s="304"/>
      <c r="AX34" s="304"/>
      <c r="AY34" s="354">
        <v>1</v>
      </c>
    </row>
    <row r="35" spans="1:51" ht="14.65" customHeight="1">
      <c r="Q35" s="312"/>
      <c r="R35" s="312"/>
      <c r="S35" s="1198"/>
      <c r="T35" s="299"/>
      <c r="U35" s="1167"/>
      <c r="V35" s="2500"/>
      <c r="W35" s="2500"/>
      <c r="X35" s="2500"/>
      <c r="Y35" s="2500"/>
      <c r="Z35" s="2500"/>
      <c r="AA35" s="2500"/>
      <c r="AB35" s="2500"/>
      <c r="AC35" s="2500"/>
      <c r="AD35" s="2500"/>
      <c r="AE35" s="2500"/>
      <c r="AF35" s="2500"/>
      <c r="AG35" s="2500"/>
      <c r="AH35" s="2500"/>
      <c r="AI35" s="2500"/>
      <c r="AJ35" s="2500"/>
      <c r="AK35" s="2500"/>
      <c r="AL35" s="2500"/>
      <c r="AM35" s="2500"/>
      <c r="AN35" s="2500"/>
      <c r="AO35" s="2500"/>
      <c r="AP35" s="2500"/>
      <c r="AQ35" s="2500"/>
      <c r="AY35" s="1078">
        <v>14</v>
      </c>
    </row>
    <row r="36" spans="1:51" ht="14.65" customHeight="1">
      <c r="Q36" s="312"/>
      <c r="R36" s="312"/>
      <c r="S36" s="2371" t="s">
        <v>319</v>
      </c>
      <c r="T36" s="2371"/>
      <c r="U36" s="2371"/>
      <c r="V36" s="2371"/>
      <c r="W36" s="2371"/>
      <c r="X36" s="2371"/>
      <c r="Y36" s="2371"/>
      <c r="Z36" s="2371"/>
      <c r="AA36" s="2371"/>
      <c r="AB36" s="2371"/>
      <c r="AC36" s="2371"/>
      <c r="AD36" s="2371"/>
      <c r="AE36" s="2371"/>
      <c r="AF36" s="2371"/>
      <c r="AG36" s="2371"/>
      <c r="AH36" s="2371"/>
      <c r="AI36" s="2371"/>
      <c r="AJ36" s="2371"/>
      <c r="AK36" s="2371"/>
      <c r="AL36" s="2371"/>
      <c r="AM36" s="2371"/>
      <c r="AN36" s="2371"/>
      <c r="AO36" s="2371"/>
      <c r="AP36" s="2371"/>
      <c r="AQ36" s="2371"/>
      <c r="AR36" s="2371"/>
      <c r="AS36" s="2371" t="s">
        <v>320</v>
      </c>
      <c r="AY36" s="1078">
        <v>14</v>
      </c>
    </row>
    <row r="37" spans="1:51" ht="14.65" customHeight="1">
      <c r="Q37" s="312"/>
      <c r="R37" s="312"/>
      <c r="S37" s="2514" t="s">
        <v>89</v>
      </c>
      <c r="T37" s="2466" t="s">
        <v>443</v>
      </c>
      <c r="U37" s="238"/>
      <c r="V37" s="2515" t="s">
        <v>444</v>
      </c>
      <c r="W37" s="2532"/>
      <c r="X37" s="2532"/>
      <c r="Y37" s="2532"/>
      <c r="Z37" s="2532"/>
      <c r="AA37" s="2532"/>
      <c r="AB37" s="2532"/>
      <c r="AC37" s="2516"/>
      <c r="AD37" s="2516"/>
      <c r="AE37" s="2517"/>
      <c r="AF37" s="2518" t="s">
        <v>445</v>
      </c>
      <c r="AG37" s="2515" t="s">
        <v>444</v>
      </c>
      <c r="AH37" s="2516"/>
      <c r="AI37" s="2516"/>
      <c r="AJ37" s="2516"/>
      <c r="AK37" s="2516"/>
      <c r="AL37" s="2516"/>
      <c r="AM37" s="2516"/>
      <c r="AN37" s="2516"/>
      <c r="AO37" s="2516"/>
      <c r="AP37" s="2517"/>
      <c r="AQ37" s="2518" t="s">
        <v>446</v>
      </c>
      <c r="AR37" s="2521" t="s">
        <v>447</v>
      </c>
      <c r="AS37" s="2371"/>
      <c r="AY37" s="1078">
        <v>14</v>
      </c>
    </row>
    <row r="38" spans="1:51" ht="19.899999999999999" customHeight="1">
      <c r="Q38" s="312"/>
      <c r="R38" s="312"/>
      <c r="S38" s="2514"/>
      <c r="T38" s="2466"/>
      <c r="U38" s="958"/>
      <c r="V38" s="2371" t="s">
        <v>549</v>
      </c>
      <c r="W38" s="2590" t="s">
        <v>550</v>
      </c>
      <c r="X38" s="2590"/>
      <c r="Y38" s="2590"/>
      <c r="Z38" s="2590" t="s">
        <v>551</v>
      </c>
      <c r="AA38" s="2590"/>
      <c r="AB38" s="2590"/>
      <c r="AC38" s="2452" t="s">
        <v>451</v>
      </c>
      <c r="AD38" s="2546"/>
      <c r="AE38" s="2453"/>
      <c r="AF38" s="2519"/>
      <c r="AG38" s="2371" t="s">
        <v>549</v>
      </c>
      <c r="AH38" s="2590" t="s">
        <v>550</v>
      </c>
      <c r="AI38" s="2590"/>
      <c r="AJ38" s="2590"/>
      <c r="AK38" s="2590" t="s">
        <v>551</v>
      </c>
      <c r="AL38" s="2590"/>
      <c r="AM38" s="2590"/>
      <c r="AN38" s="2452" t="s">
        <v>451</v>
      </c>
      <c r="AO38" s="2546"/>
      <c r="AP38" s="2453"/>
      <c r="AQ38" s="2519"/>
      <c r="AR38" s="2522"/>
      <c r="AS38" s="2371"/>
      <c r="AY38" s="1078">
        <v>19</v>
      </c>
    </row>
    <row r="39" spans="1:51" s="1558" customFormat="1" ht="19.899999999999999" customHeight="1">
      <c r="A39" s="1289"/>
      <c r="B39" s="1289"/>
      <c r="C39" s="1289"/>
      <c r="D39" s="1289"/>
      <c r="E39" s="1289"/>
      <c r="F39" s="1289"/>
      <c r="G39" s="1289"/>
      <c r="H39" s="1289"/>
      <c r="I39" s="1289"/>
      <c r="J39" s="1289"/>
      <c r="K39" s="1289"/>
      <c r="L39" s="1865"/>
      <c r="M39" s="1285"/>
      <c r="N39" s="1285"/>
      <c r="O39" s="1285"/>
      <c r="P39" s="1879"/>
      <c r="Q39" s="312"/>
      <c r="R39" s="312"/>
      <c r="S39" s="2514"/>
      <c r="T39" s="2466"/>
      <c r="U39" s="958"/>
      <c r="V39" s="2371"/>
      <c r="W39" s="2590" t="s">
        <v>552</v>
      </c>
      <c r="X39" s="2590" t="s">
        <v>553</v>
      </c>
      <c r="Y39" s="2590"/>
      <c r="Z39" s="2590" t="s">
        <v>554</v>
      </c>
      <c r="AA39" s="2590" t="s">
        <v>553</v>
      </c>
      <c r="AB39" s="2590"/>
      <c r="AC39" s="2457"/>
      <c r="AD39" s="2547"/>
      <c r="AE39" s="2458"/>
      <c r="AF39" s="2519"/>
      <c r="AG39" s="2371"/>
      <c r="AH39" s="2590" t="s">
        <v>552</v>
      </c>
      <c r="AI39" s="2590" t="s">
        <v>553</v>
      </c>
      <c r="AJ39" s="2590"/>
      <c r="AK39" s="2590" t="s">
        <v>554</v>
      </c>
      <c r="AL39" s="2590" t="s">
        <v>553</v>
      </c>
      <c r="AM39" s="2590"/>
      <c r="AN39" s="2457"/>
      <c r="AO39" s="2547"/>
      <c r="AP39" s="2458"/>
      <c r="AQ39" s="2519"/>
      <c r="AR39" s="2522"/>
      <c r="AS39" s="2371"/>
      <c r="AT39" s="1559"/>
      <c r="AU39" s="1559"/>
      <c r="AV39" s="1559"/>
      <c r="AW39" s="1559"/>
      <c r="AX39" s="1559"/>
      <c r="AY39" s="1554">
        <v>19</v>
      </c>
    </row>
    <row r="40" spans="1:51" ht="61.9" customHeight="1">
      <c r="A40" s="1293"/>
      <c r="B40" s="1293" t="s">
        <v>156</v>
      </c>
      <c r="C40" s="1293" t="s">
        <v>157</v>
      </c>
      <c r="D40" s="1293" t="s">
        <v>158</v>
      </c>
      <c r="E40" s="1287" t="s">
        <v>452</v>
      </c>
      <c r="F40" s="1287" t="s">
        <v>453</v>
      </c>
      <c r="G40" s="1287" t="s">
        <v>454</v>
      </c>
      <c r="H40" s="1287"/>
      <c r="I40" s="1287" t="s">
        <v>507</v>
      </c>
      <c r="J40" s="1287" t="s">
        <v>457</v>
      </c>
      <c r="K40" s="1287" t="s">
        <v>508</v>
      </c>
      <c r="L40" s="1287" t="s">
        <v>437</v>
      </c>
      <c r="Q40" s="312"/>
      <c r="R40" s="312"/>
      <c r="S40" s="2514"/>
      <c r="T40" s="2466"/>
      <c r="U40" s="239"/>
      <c r="V40" s="2371"/>
      <c r="W40" s="2590"/>
      <c r="X40" s="1897" t="s">
        <v>555</v>
      </c>
      <c r="Y40" s="1897" t="s">
        <v>556</v>
      </c>
      <c r="Z40" s="2590"/>
      <c r="AA40" s="1897" t="s">
        <v>557</v>
      </c>
      <c r="AB40" s="1897" t="s">
        <v>558</v>
      </c>
      <c r="AC40" s="1412" t="s">
        <v>461</v>
      </c>
      <c r="AD40" s="2474" t="s">
        <v>462</v>
      </c>
      <c r="AE40" s="2476"/>
      <c r="AF40" s="2520"/>
      <c r="AG40" s="2371"/>
      <c r="AH40" s="2590"/>
      <c r="AI40" s="1897" t="s">
        <v>555</v>
      </c>
      <c r="AJ40" s="1897" t="s">
        <v>556</v>
      </c>
      <c r="AK40" s="2590"/>
      <c r="AL40" s="1897" t="s">
        <v>557</v>
      </c>
      <c r="AM40" s="1897" t="s">
        <v>558</v>
      </c>
      <c r="AN40" s="1412" t="s">
        <v>461</v>
      </c>
      <c r="AO40" s="2474" t="s">
        <v>462</v>
      </c>
      <c r="AP40" s="2476"/>
      <c r="AQ40" s="2520"/>
      <c r="AR40" s="2523"/>
      <c r="AS40" s="2371"/>
      <c r="AY40" s="1078">
        <v>59</v>
      </c>
    </row>
    <row r="41" spans="1:51" s="1564" customFormat="1" ht="11.25" hidden="1" customHeight="1">
      <c r="A41" s="1293"/>
      <c r="B41" s="1293"/>
      <c r="C41" s="1293"/>
      <c r="D41" s="1293"/>
      <c r="E41" s="1293"/>
      <c r="F41" s="1293"/>
      <c r="G41" s="1293"/>
      <c r="H41" s="1293"/>
      <c r="I41" s="1293"/>
      <c r="J41" s="1293"/>
      <c r="K41" s="1293"/>
      <c r="L41" s="1287"/>
      <c r="M41" s="1285"/>
      <c r="N41" s="1285"/>
      <c r="O41" s="1285"/>
      <c r="P41" s="1169"/>
      <c r="Q41" s="1170"/>
      <c r="R41" s="1177">
        <v>1</v>
      </c>
      <c r="S41" s="1200" t="s">
        <v>100</v>
      </c>
      <c r="T41" s="1178" t="s">
        <v>103</v>
      </c>
      <c r="U41" s="1168" t="str">
        <f ca="1">OFFSET(U41,0,-1)</f>
        <v>2</v>
      </c>
      <c r="V41" s="1405">
        <f ca="1">OFFSET(V41,0,-1)+1</f>
        <v>3</v>
      </c>
      <c r="W41" s="1264"/>
      <c r="X41" s="1264"/>
      <c r="Y41" s="1264"/>
      <c r="Z41" s="1264"/>
      <c r="AA41" s="1264"/>
      <c r="AB41" s="1264"/>
      <c r="AC41" s="1405">
        <f ca="1">OFFSET(AC41,0,-1)+1</f>
        <v>1</v>
      </c>
      <c r="AD41" s="2513">
        <f ca="1">OFFSET(AD41,0,-1)+1</f>
        <v>2</v>
      </c>
      <c r="AE41" s="2513"/>
      <c r="AF41" s="1405">
        <f ca="1">OFFSET(AF41,0,-2)+1</f>
        <v>3</v>
      </c>
      <c r="AG41" s="1405">
        <f ca="1">OFFSET(AG41,0,-1)+1</f>
        <v>4</v>
      </c>
      <c r="AH41" s="1870"/>
      <c r="AI41" s="1870"/>
      <c r="AJ41" s="1870"/>
      <c r="AK41" s="1870"/>
      <c r="AL41" s="1870"/>
      <c r="AM41" s="1405">
        <f ca="1">OFFSET(AM41,0,-1)+1</f>
        <v>1</v>
      </c>
      <c r="AN41" s="1405">
        <f ca="1">OFFSET(AN41,0,-1)+1</f>
        <v>2</v>
      </c>
      <c r="AO41" s="2513">
        <f ca="1">OFFSET(AO41,0,-1)+1</f>
        <v>3</v>
      </c>
      <c r="AP41" s="2513"/>
      <c r="AQ41" s="1405">
        <f ca="1">OFFSET(AQ41,0,-2)+1</f>
        <v>4</v>
      </c>
      <c r="AR41" s="1168">
        <f ca="1">OFFSET(AR41,0,-1)</f>
        <v>4</v>
      </c>
      <c r="AS41" s="1405">
        <f ca="1">OFFSET(AS41,0,-1)+1</f>
        <v>5</v>
      </c>
      <c r="AT41" s="447"/>
      <c r="AU41" s="447"/>
      <c r="AV41" s="447"/>
      <c r="AW41" s="447"/>
      <c r="AX41" s="447"/>
      <c r="AY41" s="432">
        <v>0</v>
      </c>
    </row>
    <row r="42" spans="1:51" ht="24" customHeight="1">
      <c r="A42" s="1286" t="s">
        <v>270</v>
      </c>
      <c r="B42" s="1286"/>
      <c r="C42" s="1286"/>
      <c r="D42" s="1286"/>
      <c r="E42" s="2506">
        <v>1</v>
      </c>
      <c r="F42" s="1286"/>
      <c r="G42" s="1286"/>
      <c r="H42" s="1286"/>
      <c r="I42" s="1286"/>
      <c r="J42" s="1286"/>
      <c r="K42" s="1286"/>
      <c r="L42" s="1287"/>
      <c r="M42" s="1288"/>
      <c r="N42" s="1288"/>
      <c r="O42" s="1288"/>
      <c r="P42" s="297"/>
      <c r="Q42" s="296"/>
      <c r="R42" s="291"/>
      <c r="S42" s="1416">
        <f>INDEX(PT_DIFFERENTIATION_NUM_NTAR,MATCH(A42,PT_DIFFERENTIATION_NTAR_ID,0))</f>
        <v>0</v>
      </c>
      <c r="T42" s="235" t="s">
        <v>144</v>
      </c>
      <c r="U42" s="237"/>
      <c r="V42" s="2492"/>
      <c r="W42" s="2493"/>
      <c r="X42" s="2493"/>
      <c r="Y42" s="2493"/>
      <c r="Z42" s="2493"/>
      <c r="AA42" s="2493"/>
      <c r="AB42" s="2493"/>
      <c r="AC42" s="2493"/>
      <c r="AD42" s="2493"/>
      <c r="AE42" s="2493"/>
      <c r="AF42" s="2494"/>
      <c r="AG42" s="2492" t="str">
        <f>INDEX(PT_DIFFERENTIATION_NTAR,MATCH(A42,PT_DIFFERENTIATION_NTAR_ID,0))</f>
        <v/>
      </c>
      <c r="AH42" s="2493"/>
      <c r="AI42" s="2493"/>
      <c r="AJ42" s="2493"/>
      <c r="AK42" s="2493"/>
      <c r="AL42" s="2493"/>
      <c r="AM42" s="2493"/>
      <c r="AN42" s="2493"/>
      <c r="AO42" s="2493"/>
      <c r="AP42" s="2493"/>
      <c r="AQ42" s="2493"/>
      <c r="AR42" s="2494"/>
      <c r="AS4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78">
        <v>23</v>
      </c>
    </row>
    <row r="43" spans="1:51" ht="24" customHeight="1">
      <c r="A43" s="1286" t="s">
        <v>270</v>
      </c>
      <c r="B43" s="1286" t="s">
        <v>271</v>
      </c>
      <c r="C43" s="1286"/>
      <c r="D43" s="1286"/>
      <c r="E43" s="2507"/>
      <c r="F43" s="2506">
        <v>1</v>
      </c>
      <c r="G43" s="1286"/>
      <c r="H43" s="1286"/>
      <c r="I43" s="1286"/>
      <c r="J43" s="1286"/>
      <c r="K43" s="1286"/>
      <c r="L43" s="1287"/>
      <c r="M43" s="1288"/>
      <c r="N43" s="1288"/>
      <c r="O43" s="1288"/>
      <c r="P43" s="1410"/>
      <c r="Q43" s="288"/>
      <c r="R43" s="289"/>
      <c r="S43" s="1416" t="str">
        <f>INDEX(PT_DIFFERENTIATION_NUM_TER,MATCH(B43,PT_DIFFERENTIATION_TER_ID,0))</f>
        <v>.</v>
      </c>
      <c r="T43" s="245" t="s">
        <v>416</v>
      </c>
      <c r="U43" s="237"/>
      <c r="V43" s="2492"/>
      <c r="W43" s="2493"/>
      <c r="X43" s="2493"/>
      <c r="Y43" s="2493"/>
      <c r="Z43" s="2493"/>
      <c r="AA43" s="2493"/>
      <c r="AB43" s="2493"/>
      <c r="AC43" s="2493"/>
      <c r="AD43" s="2493"/>
      <c r="AE43" s="2493"/>
      <c r="AF43" s="2494"/>
      <c r="AG43" s="2492" t="str">
        <f>INDEX(PT_DIFFERENTIATION_TER,MATCH(B43,PT_DIFFERENTIATION_TER_ID,0))</f>
        <v/>
      </c>
      <c r="AH43" s="2493"/>
      <c r="AI43" s="2493"/>
      <c r="AJ43" s="2493"/>
      <c r="AK43" s="2493"/>
      <c r="AL43" s="2493"/>
      <c r="AM43" s="2493"/>
      <c r="AN43" s="2493"/>
      <c r="AO43" s="2493"/>
      <c r="AP43" s="2493"/>
      <c r="AQ43" s="2493"/>
      <c r="AR43" s="2494"/>
      <c r="AS43" s="1181" t="s">
        <v>417</v>
      </c>
      <c r="AU43" s="436"/>
      <c r="AV43" s="436" t="str">
        <f t="shared" si="1"/>
        <v>Территория действия тарифа</v>
      </c>
      <c r="AW43" s="436"/>
      <c r="AX43" s="436"/>
      <c r="AY43" s="1078">
        <v>23</v>
      </c>
    </row>
    <row r="44" spans="1:51" ht="24" customHeight="1">
      <c r="A44" s="1286" t="s">
        <v>270</v>
      </c>
      <c r="B44" s="1286" t="s">
        <v>271</v>
      </c>
      <c r="C44" s="1286" t="s">
        <v>272</v>
      </c>
      <c r="D44" s="1286"/>
      <c r="E44" s="2507"/>
      <c r="F44" s="2507"/>
      <c r="G44" s="2506">
        <v>1</v>
      </c>
      <c r="H44" s="1286"/>
      <c r="I44" s="1286"/>
      <c r="J44" s="1286"/>
      <c r="K44" s="1286"/>
      <c r="L44" s="1287"/>
      <c r="M44" s="1288"/>
      <c r="N44" s="1288"/>
      <c r="O44" s="1288"/>
      <c r="P44" s="290"/>
      <c r="Q44" s="288"/>
      <c r="R44" s="289"/>
      <c r="S44" s="1416" t="str">
        <f>INDEX(PT_DIFFERENTIATION_NUM_CS,MATCH(C44,PT_DIFFERENTIATION_CS_ID,0))</f>
        <v>..</v>
      </c>
      <c r="T44" s="246" t="s">
        <v>547</v>
      </c>
      <c r="U44" s="237"/>
      <c r="V44" s="2492"/>
      <c r="W44" s="2493"/>
      <c r="X44" s="2493"/>
      <c r="Y44" s="2493"/>
      <c r="Z44" s="2493"/>
      <c r="AA44" s="2493"/>
      <c r="AB44" s="2493"/>
      <c r="AC44" s="2493"/>
      <c r="AD44" s="2493"/>
      <c r="AE44" s="2493"/>
      <c r="AF44" s="2494"/>
      <c r="AG44" s="2492" t="str">
        <f>INDEX(PT_DIFFERENTIATION_CS,MATCH(C44,PT_DIFFERENTIATION_CS_ID,0))</f>
        <v/>
      </c>
      <c r="AH44" s="2493"/>
      <c r="AI44" s="2493"/>
      <c r="AJ44" s="2493"/>
      <c r="AK44" s="2493"/>
      <c r="AL44" s="2493"/>
      <c r="AM44" s="2493"/>
      <c r="AN44" s="2493"/>
      <c r="AO44" s="2493"/>
      <c r="AP44" s="2493"/>
      <c r="AQ44" s="2493"/>
      <c r="AR44" s="2494"/>
      <c r="AS44" s="1181" t="s">
        <v>548</v>
      </c>
      <c r="AU44" s="436"/>
      <c r="AV44" s="436" t="str">
        <f t="shared" si="1"/>
        <v>Наименование централизованной системы горячего водоснабжения</v>
      </c>
      <c r="AW44" s="436"/>
      <c r="AX44" s="436"/>
      <c r="AY44" s="1078">
        <v>23</v>
      </c>
    </row>
    <row r="45" spans="1:51" ht="24" customHeight="1">
      <c r="A45" s="1286" t="s">
        <v>270</v>
      </c>
      <c r="B45" s="1286" t="s">
        <v>271</v>
      </c>
      <c r="C45" s="1286" t="s">
        <v>272</v>
      </c>
      <c r="D45" s="1286" t="s">
        <v>559</v>
      </c>
      <c r="E45" s="2507"/>
      <c r="F45" s="2507"/>
      <c r="G45" s="2507"/>
      <c r="H45" s="2507"/>
      <c r="I45" s="2504" t="str">
        <f>S44&amp;".1"</f>
        <v>...1</v>
      </c>
      <c r="J45" s="1286"/>
      <c r="K45" s="1286"/>
      <c r="L45" s="1287"/>
      <c r="P45" s="2505">
        <v>1</v>
      </c>
      <c r="Q45" s="1404"/>
      <c r="R45" s="292"/>
      <c r="S45" s="1416" t="str">
        <f>$I45</f>
        <v>...1</v>
      </c>
      <c r="T45" s="222" t="s">
        <v>500</v>
      </c>
      <c r="U45" s="237"/>
      <c r="V45" s="2576"/>
      <c r="W45" s="2577"/>
      <c r="X45" s="2577"/>
      <c r="Y45" s="2577"/>
      <c r="Z45" s="2577"/>
      <c r="AA45" s="2577"/>
      <c r="AB45" s="2577"/>
      <c r="AC45" s="2577"/>
      <c r="AD45" s="2577"/>
      <c r="AE45" s="2577"/>
      <c r="AF45" s="2578"/>
      <c r="AG45" s="2579"/>
      <c r="AH45" s="2580"/>
      <c r="AI45" s="2580"/>
      <c r="AJ45" s="2580"/>
      <c r="AK45" s="2580"/>
      <c r="AL45" s="2580"/>
      <c r="AM45" s="2580"/>
      <c r="AN45" s="2580"/>
      <c r="AO45" s="2580"/>
      <c r="AP45" s="2580"/>
      <c r="AQ45" s="2580"/>
      <c r="AR45" s="2581"/>
      <c r="AS45" s="1181" t="s">
        <v>501</v>
      </c>
      <c r="AU45" s="436"/>
      <c r="AV45" s="436" t="str">
        <f t="shared" si="1"/>
        <v>Наименование признака дифференциации</v>
      </c>
      <c r="AW45" s="436"/>
      <c r="AX45" s="436"/>
      <c r="AY45" s="1078">
        <v>23</v>
      </c>
    </row>
    <row r="46" spans="1:51" ht="24" customHeight="1">
      <c r="A46" s="1286" t="s">
        <v>270</v>
      </c>
      <c r="B46" s="1286" t="s">
        <v>271</v>
      </c>
      <c r="C46" s="1286" t="s">
        <v>272</v>
      </c>
      <c r="D46" s="1286" t="s">
        <v>559</v>
      </c>
      <c r="E46" s="2507"/>
      <c r="F46" s="2507"/>
      <c r="G46" s="2507"/>
      <c r="H46" s="2507"/>
      <c r="I46" s="2527"/>
      <c r="J46" s="2504" t="str">
        <f>I45&amp;".1"</f>
        <v>...1.1</v>
      </c>
      <c r="K46" s="1286"/>
      <c r="L46" s="1287" t="s">
        <v>425</v>
      </c>
      <c r="P46" s="2505"/>
      <c r="Q46" s="2505">
        <v>1</v>
      </c>
      <c r="R46" s="293"/>
      <c r="S46" s="1416" t="str">
        <f>$J46</f>
        <v>...1.1</v>
      </c>
      <c r="T46" s="223" t="s">
        <v>426</v>
      </c>
      <c r="U46" s="237"/>
      <c r="V46" s="2495"/>
      <c r="W46" s="2496"/>
      <c r="X46" s="2496"/>
      <c r="Y46" s="2496"/>
      <c r="Z46" s="2496"/>
      <c r="AA46" s="2496"/>
      <c r="AB46" s="2496"/>
      <c r="AC46" s="2496"/>
      <c r="AD46" s="2496"/>
      <c r="AE46" s="2496"/>
      <c r="AF46" s="2497"/>
      <c r="AG46" s="2495"/>
      <c r="AH46" s="2496"/>
      <c r="AI46" s="2496"/>
      <c r="AJ46" s="2496"/>
      <c r="AK46" s="2496"/>
      <c r="AL46" s="2496"/>
      <c r="AM46" s="2496"/>
      <c r="AN46" s="2496"/>
      <c r="AO46" s="2496"/>
      <c r="AP46" s="2496"/>
      <c r="AQ46" s="2496"/>
      <c r="AR46" s="2497"/>
      <c r="AS46" s="1230" t="s">
        <v>502</v>
      </c>
      <c r="AU46" s="436"/>
      <c r="AV46" s="436" t="str">
        <f t="shared" si="1"/>
        <v>Группа потребителей</v>
      </c>
      <c r="AW46" s="436"/>
      <c r="AX46" s="436"/>
      <c r="AY46" s="1078">
        <v>23</v>
      </c>
    </row>
    <row r="47" spans="1:51" ht="24" customHeight="1">
      <c r="A47" s="1286" t="s">
        <v>270</v>
      </c>
      <c r="B47" s="1286" t="s">
        <v>271</v>
      </c>
      <c r="C47" s="1286" t="s">
        <v>272</v>
      </c>
      <c r="D47" s="1286" t="s">
        <v>559</v>
      </c>
      <c r="E47" s="2507"/>
      <c r="F47" s="2507"/>
      <c r="G47" s="2507"/>
      <c r="H47" s="2507"/>
      <c r="I47" s="2527"/>
      <c r="J47" s="2527"/>
      <c r="K47" s="2504" t="str">
        <f>J46&amp;".1"</f>
        <v>...1.1.1</v>
      </c>
      <c r="L47" s="1287"/>
      <c r="P47" s="2505"/>
      <c r="Q47" s="2505"/>
      <c r="R47" s="293">
        <v>1</v>
      </c>
      <c r="S47" s="1416" t="str">
        <f>$K47</f>
        <v>...1.1.1</v>
      </c>
      <c r="T47" s="1360"/>
      <c r="U47" s="237"/>
      <c r="V47" s="686"/>
      <c r="W47" s="686"/>
      <c r="X47" s="686"/>
      <c r="Y47" s="686"/>
      <c r="Z47" s="686"/>
      <c r="AA47" s="686"/>
      <c r="AB47" s="686"/>
      <c r="AC47" s="2511"/>
      <c r="AD47" s="2512" t="s">
        <v>63</v>
      </c>
      <c r="AE47" s="2511"/>
      <c r="AF47" s="2512" t="s">
        <v>63</v>
      </c>
      <c r="AG47" s="686"/>
      <c r="AH47" s="686"/>
      <c r="AI47" s="686"/>
      <c r="AJ47" s="686"/>
      <c r="AK47" s="686"/>
      <c r="AL47" s="686"/>
      <c r="AM47" s="686"/>
      <c r="AN47" s="2509"/>
      <c r="AO47" s="2360" t="s">
        <v>63</v>
      </c>
      <c r="AP47" s="2528"/>
      <c r="AQ47" s="2360" t="s">
        <v>19</v>
      </c>
      <c r="AR47" s="1361"/>
      <c r="AS47" s="257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78">
        <v>23</v>
      </c>
    </row>
    <row r="48" spans="1:51" ht="0" hidden="1" customHeight="1">
      <c r="A48" s="1286" t="s">
        <v>270</v>
      </c>
      <c r="B48" s="1286" t="s">
        <v>271</v>
      </c>
      <c r="C48" s="1286" t="s">
        <v>272</v>
      </c>
      <c r="D48" s="1286" t="s">
        <v>559</v>
      </c>
      <c r="E48" s="2507"/>
      <c r="F48" s="2507"/>
      <c r="G48" s="2507"/>
      <c r="H48" s="2507"/>
      <c r="I48" s="2527"/>
      <c r="J48" s="2527"/>
      <c r="K48" s="2504"/>
      <c r="L48" s="1287"/>
      <c r="P48" s="2505"/>
      <c r="Q48" s="2505"/>
      <c r="R48" s="293"/>
      <c r="S48" s="1413"/>
      <c r="T48" s="237"/>
      <c r="U48" s="237"/>
      <c r="V48" s="1283"/>
      <c r="W48" s="1283"/>
      <c r="X48" s="1283"/>
      <c r="Y48" s="1283"/>
      <c r="Z48" s="1283"/>
      <c r="AA48" s="1283"/>
      <c r="AB48" s="1283"/>
      <c r="AC48" s="2512"/>
      <c r="AD48" s="2512"/>
      <c r="AE48" s="2512"/>
      <c r="AF48" s="2512"/>
      <c r="AG48" s="262"/>
      <c r="AH48" s="262"/>
      <c r="AI48" s="262"/>
      <c r="AJ48" s="262"/>
      <c r="AK48" s="262"/>
      <c r="AL48" s="262"/>
      <c r="AM48" s="262"/>
      <c r="AN48" s="2510"/>
      <c r="AO48" s="2360"/>
      <c r="AP48" s="2529"/>
      <c r="AQ48" s="2360"/>
      <c r="AR48" s="1362"/>
      <c r="AS48" s="2575"/>
      <c r="AU48" s="436"/>
      <c r="AV48" s="436" t="str">
        <f t="shared" si="1"/>
        <v/>
      </c>
      <c r="AW48" s="436"/>
      <c r="AX48" s="436"/>
      <c r="AY48" s="1078">
        <v>0</v>
      </c>
    </row>
    <row r="49" spans="1:51" ht="21" customHeight="1">
      <c r="A49" s="1286" t="s">
        <v>270</v>
      </c>
      <c r="B49" s="1286" t="s">
        <v>271</v>
      </c>
      <c r="C49" s="1286" t="s">
        <v>272</v>
      </c>
      <c r="D49" s="1286" t="s">
        <v>559</v>
      </c>
      <c r="E49" s="2507"/>
      <c r="F49" s="2507"/>
      <c r="G49" s="2507"/>
      <c r="H49" s="2507"/>
      <c r="I49" s="2527"/>
      <c r="J49" s="2504"/>
      <c r="K49" s="1286"/>
      <c r="L49" s="1287"/>
      <c r="P49" s="2505"/>
      <c r="Q49" s="2505"/>
      <c r="R49" s="292"/>
      <c r="S49" s="1201"/>
      <c r="T49" s="224" t="s">
        <v>503</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81" t="s">
        <v>504</v>
      </c>
      <c r="AU49" s="436"/>
      <c r="AV49" s="436" t="str">
        <f t="shared" si="1"/>
        <v>Добавить значение признака дифференциации</v>
      </c>
      <c r="AW49" s="436"/>
      <c r="AX49" s="436"/>
      <c r="AY49" s="1078">
        <v>20</v>
      </c>
    </row>
    <row r="50" spans="1:51" ht="21.95" customHeight="1">
      <c r="A50" s="1286" t="s">
        <v>270</v>
      </c>
      <c r="B50" s="1286" t="s">
        <v>271</v>
      </c>
      <c r="C50" s="1286" t="s">
        <v>272</v>
      </c>
      <c r="D50" s="1286" t="s">
        <v>559</v>
      </c>
      <c r="E50" s="2507"/>
      <c r="F50" s="2507"/>
      <c r="G50" s="2507"/>
      <c r="H50" s="2507"/>
      <c r="I50" s="2504"/>
      <c r="J50" s="1286"/>
      <c r="K50" s="1286"/>
      <c r="L50" s="1287"/>
      <c r="P50" s="2505"/>
      <c r="Q50" s="1404"/>
      <c r="R50" s="292"/>
      <c r="S50" s="1201"/>
      <c r="T50" s="301" t="s">
        <v>431</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63"/>
      <c r="AU50" s="436"/>
      <c r="AV50" s="436" t="str">
        <f t="shared" si="1"/>
        <v>Добавить группу потребителей</v>
      </c>
      <c r="AW50" s="436"/>
      <c r="AX50" s="436"/>
      <c r="AY50" s="1078">
        <v>21</v>
      </c>
    </row>
    <row r="51" spans="1:51" ht="21.95" customHeight="1">
      <c r="A51" s="1286" t="s">
        <v>270</v>
      </c>
      <c r="B51" s="1286" t="s">
        <v>271</v>
      </c>
      <c r="C51" s="1286" t="s">
        <v>272</v>
      </c>
      <c r="D51" s="1286" t="s">
        <v>559</v>
      </c>
      <c r="E51" s="2507"/>
      <c r="F51" s="2507"/>
      <c r="G51" s="2507"/>
      <c r="H51" s="2506"/>
      <c r="I51" s="1286"/>
      <c r="J51" s="1286"/>
      <c r="K51" s="1286"/>
      <c r="L51" s="1287"/>
      <c r="M51" s="1288"/>
      <c r="N51" s="1288"/>
      <c r="O51" s="473"/>
      <c r="P51" s="296"/>
      <c r="Q51" s="311"/>
      <c r="R51" s="291"/>
      <c r="S51" s="1201"/>
      <c r="T51" s="308" t="s">
        <v>505</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78">
        <v>21</v>
      </c>
    </row>
    <row r="52" spans="1:51" s="1565" customFormat="1" ht="0" hidden="1" customHeight="1">
      <c r="A52" s="1266" t="s">
        <v>270</v>
      </c>
      <c r="B52" s="1266" t="s">
        <v>271</v>
      </c>
      <c r="C52" s="1237"/>
      <c r="D52" s="1237"/>
      <c r="E52" s="2507"/>
      <c r="F52" s="2506"/>
      <c r="G52" s="1237"/>
      <c r="H52" s="1237"/>
      <c r="I52" s="1237"/>
      <c r="J52" s="1237"/>
      <c r="K52" s="1237"/>
      <c r="L52" s="1417"/>
      <c r="M52" s="1244"/>
      <c r="N52" s="1244"/>
      <c r="P52" s="1239"/>
      <c r="Q52" s="1240"/>
      <c r="R52" s="1239"/>
      <c r="S52" s="1245"/>
      <c r="T52" s="1248" t="s">
        <v>434</v>
      </c>
      <c r="U52" s="1247"/>
      <c r="V52" s="1247"/>
      <c r="W52" s="1247"/>
      <c r="X52" s="1247"/>
      <c r="Y52" s="1247"/>
      <c r="Z52" s="1247"/>
      <c r="AA52" s="1247"/>
      <c r="AB52" s="1247"/>
      <c r="AC52" s="1247"/>
      <c r="AD52" s="1247"/>
      <c r="AE52" s="1247"/>
      <c r="AF52" s="1247"/>
      <c r="AG52" s="1247"/>
      <c r="AH52" s="1247"/>
      <c r="AI52" s="1247"/>
      <c r="AJ52" s="1247"/>
      <c r="AK52" s="1247"/>
      <c r="AL52" s="1247"/>
      <c r="AM52" s="1247"/>
      <c r="AN52" s="1247"/>
      <c r="AO52" s="1247"/>
      <c r="AP52" s="1247"/>
      <c r="AQ52" s="1247"/>
      <c r="AR52" s="1247"/>
      <c r="AS52" s="1247"/>
      <c r="AU52" s="718"/>
      <c r="AV52" s="718" t="str">
        <f t="shared" si="1"/>
        <v>Добавить централизованную систему для дифференциации</v>
      </c>
      <c r="AW52" s="718"/>
      <c r="AX52" s="718"/>
      <c r="AY52" s="454">
        <v>0</v>
      </c>
    </row>
    <row r="53" spans="1:51" s="1565" customFormat="1" ht="0" hidden="1" customHeight="1">
      <c r="A53" s="1266" t="s">
        <v>270</v>
      </c>
      <c r="B53" s="1266"/>
      <c r="C53" s="1266"/>
      <c r="D53" s="1266"/>
      <c r="E53" s="2506"/>
      <c r="F53" s="1266"/>
      <c r="G53" s="1266"/>
      <c r="H53" s="1266"/>
      <c r="I53" s="1266"/>
      <c r="J53" s="1266"/>
      <c r="K53" s="1266"/>
      <c r="L53" s="1269"/>
      <c r="M53" s="1244"/>
      <c r="N53" s="1244"/>
      <c r="O53" s="454"/>
      <c r="P53" s="316"/>
      <c r="Q53" s="1267"/>
      <c r="R53" s="316"/>
      <c r="S53" s="1245"/>
      <c r="T53" s="1248" t="s">
        <v>435</v>
      </c>
      <c r="U53" s="1247"/>
      <c r="V53" s="1247"/>
      <c r="W53" s="1247"/>
      <c r="X53" s="1247"/>
      <c r="Y53" s="1247"/>
      <c r="Z53" s="1247"/>
      <c r="AA53" s="1247"/>
      <c r="AB53" s="1247"/>
      <c r="AC53" s="1247"/>
      <c r="AD53" s="1247"/>
      <c r="AE53" s="1247"/>
      <c r="AF53" s="1247"/>
      <c r="AG53" s="1247"/>
      <c r="AH53" s="1247"/>
      <c r="AI53" s="1247"/>
      <c r="AJ53" s="1247"/>
      <c r="AK53" s="1247"/>
      <c r="AL53" s="1247"/>
      <c r="AM53" s="1247"/>
      <c r="AN53" s="1247"/>
      <c r="AO53" s="1247"/>
      <c r="AP53" s="1247"/>
      <c r="AQ53" s="1247"/>
      <c r="AR53" s="1247"/>
      <c r="AS53" s="1247"/>
      <c r="AU53" s="436"/>
      <c r="AV53" s="436" t="str">
        <f t="shared" si="1"/>
        <v>Добавить территорию для дифференциации</v>
      </c>
      <c r="AW53" s="436"/>
      <c r="AX53" s="436"/>
      <c r="AY53" s="447">
        <v>0</v>
      </c>
    </row>
    <row r="54" spans="1:51" s="1565" customFormat="1" ht="0" hidden="1" customHeight="1">
      <c r="A54" s="1237"/>
      <c r="B54" s="1237"/>
      <c r="C54" s="1237"/>
      <c r="D54" s="1237"/>
      <c r="E54" s="1266"/>
      <c r="F54" s="1237"/>
      <c r="G54" s="1237"/>
      <c r="H54" s="1237"/>
      <c r="I54" s="1237"/>
      <c r="J54" s="1237"/>
      <c r="K54" s="1237"/>
      <c r="L54" s="1417"/>
      <c r="M54" s="1244"/>
      <c r="N54" s="1244"/>
      <c r="P54" s="1239"/>
      <c r="Q54" s="1240"/>
      <c r="R54" s="1239"/>
      <c r="S54" s="1245"/>
      <c r="T54" s="1248" t="s">
        <v>463</v>
      </c>
      <c r="U54" s="1247"/>
      <c r="V54" s="1247"/>
      <c r="W54" s="1247"/>
      <c r="X54" s="1247"/>
      <c r="Y54" s="1247"/>
      <c r="Z54" s="1247"/>
      <c r="AA54" s="1247"/>
      <c r="AB54" s="1247"/>
      <c r="AC54" s="1247"/>
      <c r="AD54" s="1247"/>
      <c r="AE54" s="1247"/>
      <c r="AF54" s="1247"/>
      <c r="AG54" s="1247"/>
      <c r="AH54" s="1247"/>
      <c r="AI54" s="1247"/>
      <c r="AJ54" s="1247"/>
      <c r="AK54" s="1247"/>
      <c r="AL54" s="1247"/>
      <c r="AM54" s="1247"/>
      <c r="AN54" s="1247"/>
      <c r="AO54" s="1247"/>
      <c r="AP54" s="1247"/>
      <c r="AQ54" s="1247"/>
      <c r="AR54" s="1247"/>
      <c r="AS54" s="1247"/>
      <c r="AU54" s="718"/>
      <c r="AV54" s="718" t="str">
        <f t="shared" si="1"/>
        <v>Добавить наименование тарифа</v>
      </c>
      <c r="AW54" s="718"/>
      <c r="AX54" s="718"/>
      <c r="AY54" s="454">
        <v>0</v>
      </c>
    </row>
    <row r="55" spans="1:51" ht="11.45" customHeight="1">
      <c r="M55" s="1083"/>
      <c r="N55" s="1083"/>
      <c r="O55" s="473"/>
      <c r="P55" s="1078"/>
      <c r="Q55" s="1078"/>
      <c r="R55" s="1078"/>
      <c r="S55" s="1078"/>
      <c r="AT55" s="1078"/>
      <c r="AU55" s="1078"/>
      <c r="AV55" s="1078"/>
      <c r="AW55" s="1078"/>
      <c r="AX55" s="1078"/>
      <c r="AY55" s="1078">
        <v>11</v>
      </c>
    </row>
    <row r="56" spans="1:51" ht="14.65" customHeight="1">
      <c r="O56" s="473"/>
      <c r="S56" s="1176"/>
      <c r="T56" s="2526"/>
      <c r="U56" s="2526"/>
      <c r="V56" s="2526"/>
      <c r="W56" s="2526"/>
      <c r="X56" s="2526"/>
      <c r="Y56" s="2526"/>
      <c r="Z56" s="2526"/>
      <c r="AA56" s="2526"/>
      <c r="AB56" s="2526"/>
      <c r="AC56" s="2526"/>
      <c r="AD56" s="2526"/>
      <c r="AE56" s="2526"/>
      <c r="AF56" s="2526"/>
      <c r="AG56" s="2526"/>
      <c r="AH56" s="2526"/>
      <c r="AI56" s="2526"/>
      <c r="AJ56" s="2526"/>
      <c r="AK56" s="2526"/>
      <c r="AL56" s="2526"/>
      <c r="AM56" s="2526"/>
      <c r="AN56" s="2526"/>
      <c r="AO56" s="2526"/>
      <c r="AP56" s="2526"/>
      <c r="AQ56" s="2526"/>
      <c r="AR56" s="2526"/>
      <c r="AS56" s="2526"/>
      <c r="AY56" s="1078">
        <v>14</v>
      </c>
    </row>
    <row r="57" spans="1:51" ht="14.65" customHeight="1">
      <c r="O57" s="473"/>
      <c r="AY57" s="1078">
        <v>14</v>
      </c>
    </row>
    <row r="58" spans="1:51" ht="14.65" customHeight="1">
      <c r="O58" s="473"/>
      <c r="S58" s="1176"/>
      <c r="T58" s="2526"/>
      <c r="U58" s="2526"/>
      <c r="V58" s="2526"/>
      <c r="W58" s="2526"/>
      <c r="X58" s="2526"/>
      <c r="Y58" s="2526"/>
      <c r="Z58" s="2526"/>
      <c r="AA58" s="2526"/>
      <c r="AB58" s="2526"/>
      <c r="AC58" s="2526"/>
      <c r="AD58" s="2526"/>
      <c r="AE58" s="2526"/>
      <c r="AF58" s="2526"/>
      <c r="AG58" s="2526"/>
      <c r="AH58" s="2526"/>
      <c r="AI58" s="2526"/>
      <c r="AJ58" s="2526"/>
      <c r="AK58" s="2526"/>
      <c r="AL58" s="2526"/>
      <c r="AM58" s="2526"/>
      <c r="AN58" s="2526"/>
      <c r="AO58" s="2526"/>
      <c r="AP58" s="2526"/>
      <c r="AQ58" s="2526"/>
      <c r="AR58" s="2526"/>
      <c r="AS58" s="2526"/>
      <c r="AY58" s="1078">
        <v>14</v>
      </c>
    </row>
    <row r="59" spans="1:51" ht="22.5" hidden="1" customHeight="1">
      <c r="A59" s="1083" t="s">
        <v>83</v>
      </c>
      <c r="B59" s="1083">
        <v>0</v>
      </c>
      <c r="C59" s="1083">
        <v>0</v>
      </c>
      <c r="D59" s="1083">
        <v>0</v>
      </c>
      <c r="E59" s="1083">
        <v>0</v>
      </c>
      <c r="F59" s="1083">
        <v>0</v>
      </c>
      <c r="G59" s="1083">
        <v>0</v>
      </c>
      <c r="H59" s="1083">
        <v>0</v>
      </c>
      <c r="I59" s="1083">
        <v>0</v>
      </c>
      <c r="J59" s="1083">
        <v>0</v>
      </c>
      <c r="K59" s="1083">
        <v>0</v>
      </c>
      <c r="L59" s="1401">
        <v>0</v>
      </c>
      <c r="M59" s="1285">
        <v>0</v>
      </c>
      <c r="N59" s="1285">
        <v>0</v>
      </c>
      <c r="O59" s="1285">
        <v>0</v>
      </c>
      <c r="P59" s="1396">
        <v>3</v>
      </c>
      <c r="Q59" s="281">
        <v>3</v>
      </c>
      <c r="R59" s="281">
        <v>3</v>
      </c>
      <c r="S59" s="517">
        <v>12</v>
      </c>
      <c r="T59" s="1078">
        <v>35</v>
      </c>
      <c r="U59" s="1078">
        <v>0</v>
      </c>
      <c r="V59" s="1078">
        <v>0</v>
      </c>
      <c r="W59" s="1554">
        <v>0</v>
      </c>
      <c r="X59" s="1554">
        <v>0</v>
      </c>
      <c r="Y59" s="1554">
        <v>0</v>
      </c>
      <c r="Z59" s="1554">
        <v>0</v>
      </c>
      <c r="AA59" s="1554">
        <v>0</v>
      </c>
      <c r="AB59" s="1554">
        <v>0</v>
      </c>
      <c r="AC59" s="1078">
        <v>0</v>
      </c>
      <c r="AD59" s="1078">
        <v>0</v>
      </c>
      <c r="AE59" s="1078">
        <v>0</v>
      </c>
      <c r="AF59" s="1078">
        <v>0</v>
      </c>
      <c r="AG59" s="1078">
        <v>19</v>
      </c>
      <c r="AH59" s="1554">
        <v>19</v>
      </c>
      <c r="AI59" s="1554">
        <v>19</v>
      </c>
      <c r="AJ59" s="1554">
        <v>19</v>
      </c>
      <c r="AK59" s="1554">
        <v>19</v>
      </c>
      <c r="AL59" s="1554">
        <v>19</v>
      </c>
      <c r="AM59" s="1078">
        <v>19</v>
      </c>
      <c r="AN59" s="1078">
        <v>11</v>
      </c>
      <c r="AO59" s="1078">
        <v>3</v>
      </c>
      <c r="AP59" s="1078">
        <v>11</v>
      </c>
      <c r="AQ59" s="1078">
        <v>0</v>
      </c>
      <c r="AR59" s="1078">
        <v>4</v>
      </c>
      <c r="AS59" s="1078">
        <v>115</v>
      </c>
      <c r="AT59" s="447">
        <v>10</v>
      </c>
      <c r="AU59" s="447">
        <v>10</v>
      </c>
      <c r="AV59" s="447">
        <v>10</v>
      </c>
      <c r="AW59" s="447">
        <v>10</v>
      </c>
      <c r="AX59" s="447">
        <v>10</v>
      </c>
      <c r="AY59" s="1078">
        <v>23</v>
      </c>
    </row>
  </sheetData>
  <sheetProtection formatColumns="0" formatRows="0" insertRows="0" deleteColumns="0" deleteRows="0" sort="0" autoFilter="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4.140625" style="1289" hidden="1" customWidth="1"/>
    <col min="10" max="10" width="9.85546875" style="1289" hidden="1" customWidth="1"/>
    <col min="11" max="11" width="14.7109375" style="1289" hidden="1" customWidth="1"/>
    <col min="12" max="12" width="19.140625" style="2043" hidden="1" customWidth="1"/>
    <col min="13" max="14" width="12.28515625" style="1696" hidden="1" customWidth="1"/>
    <col min="15" max="15" width="23.42578125" style="1696" hidden="1" customWidth="1"/>
    <col min="16" max="16" width="3" style="2032" customWidth="1"/>
    <col min="17" max="18" width="3" style="281" customWidth="1"/>
    <col min="19" max="19" width="12" style="2033" customWidth="1"/>
    <col min="20" max="20" width="35" style="1558" customWidth="1"/>
    <col min="21" max="21" width="0.140625" style="1558" customWidth="1"/>
    <col min="22" max="28" width="19.7109375" style="1558" hidden="1" customWidth="1"/>
    <col min="29" max="29" width="11.7109375" style="1558" hidden="1" customWidth="1"/>
    <col min="30" max="30" width="3.7109375" style="1558" hidden="1" customWidth="1"/>
    <col min="31" max="31" width="11.7109375" style="1558" hidden="1" customWidth="1"/>
    <col min="32" max="32" width="8.5703125" style="1558" hidden="1" customWidth="1"/>
    <col min="33" max="33" width="19.7109375" style="1558" customWidth="1"/>
    <col min="34" max="39" width="19" style="1558" customWidth="1"/>
    <col min="40" max="40" width="11" style="1558" customWidth="1"/>
    <col min="41" max="41" width="3.7109375" style="1558" customWidth="1"/>
    <col min="42" max="42" width="11" style="1558" customWidth="1"/>
    <col min="43" max="43" width="8.5703125" style="1558" hidden="1" customWidth="1"/>
    <col min="44" max="44" width="4" style="1558" customWidth="1"/>
    <col min="45" max="45" width="115" style="1558" customWidth="1"/>
    <col min="46" max="50" width="10" style="1565" customWidth="1"/>
    <col min="51" max="51" width="10.5703125" style="1558" hidden="1"/>
  </cols>
  <sheetData>
    <row r="1" spans="1:51" ht="22.5" hidden="1" customHeight="1">
      <c r="AB1" s="264"/>
      <c r="AC1" s="264"/>
      <c r="AM1" s="264"/>
      <c r="AN1" s="264"/>
      <c r="AY1" s="1078" t="s">
        <v>14</v>
      </c>
    </row>
    <row r="2" spans="1:51" ht="23.25" hidden="1" customHeight="1">
      <c r="A2" s="1286"/>
      <c r="B2" s="1286"/>
      <c r="C2" s="1286"/>
      <c r="D2" s="1286"/>
      <c r="E2" s="2506">
        <v>1</v>
      </c>
      <c r="F2" s="1286"/>
      <c r="G2" s="1286"/>
      <c r="H2" s="1286"/>
      <c r="I2" s="1286"/>
      <c r="J2" s="1286"/>
      <c r="K2" s="1286"/>
      <c r="L2" s="1287"/>
      <c r="M2" s="1288"/>
      <c r="N2" s="1288"/>
      <c r="O2" s="1288"/>
      <c r="P2" s="297"/>
      <c r="Q2" s="296"/>
      <c r="R2" s="291"/>
      <c r="S2" s="1416" t="e">
        <f>INDEX(PT_DIFFERENTIATION_NUM_NTAR,MATCH(A2,PT_DIFFERENTIATION_NTAR_ID,0))</f>
        <v>#N/A</v>
      </c>
      <c r="T2" s="235" t="s">
        <v>144</v>
      </c>
      <c r="U2" s="237"/>
      <c r="V2" s="2492"/>
      <c r="W2" s="2493"/>
      <c r="X2" s="2493"/>
      <c r="Y2" s="2493"/>
      <c r="Z2" s="2493"/>
      <c r="AA2" s="2493"/>
      <c r="AB2" s="2493"/>
      <c r="AC2" s="2493"/>
      <c r="AD2" s="2493"/>
      <c r="AE2" s="2493"/>
      <c r="AF2" s="2494"/>
      <c r="AG2" s="2492" t="e">
        <f>INDEX(PT_DIFFERENTIATION_NTAR,MATCH(A2,PT_DIFFERENTIATION_NTAR_ID,0))</f>
        <v>#N/A</v>
      </c>
      <c r="AH2" s="2493"/>
      <c r="AI2" s="2493"/>
      <c r="AJ2" s="2493"/>
      <c r="AK2" s="2493"/>
      <c r="AL2" s="2493"/>
      <c r="AM2" s="2493"/>
      <c r="AN2" s="2493"/>
      <c r="AO2" s="2493"/>
      <c r="AP2" s="2493"/>
      <c r="AQ2" s="2493"/>
      <c r="AR2" s="2494"/>
      <c r="AS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78">
        <v>0</v>
      </c>
    </row>
    <row r="3" spans="1:51" ht="23.25" hidden="1" customHeight="1">
      <c r="A3" s="1286"/>
      <c r="B3" s="1286"/>
      <c r="C3" s="1286"/>
      <c r="D3" s="1286"/>
      <c r="E3" s="2507"/>
      <c r="F3" s="2506">
        <v>1</v>
      </c>
      <c r="G3" s="1286"/>
      <c r="H3" s="1286"/>
      <c r="I3" s="1286"/>
      <c r="J3" s="1286"/>
      <c r="K3" s="1286"/>
      <c r="L3" s="1287"/>
      <c r="M3" s="1288"/>
      <c r="N3" s="1288"/>
      <c r="O3" s="1288"/>
      <c r="P3" s="1410"/>
      <c r="Q3" s="288"/>
      <c r="R3" s="289"/>
      <c r="S3" s="1416" t="e">
        <f>INDEX(PT_DIFFERENTIATION_NUM_TER,MATCH(B3,PT_DIFFERENTIATION_TER_ID,0))</f>
        <v>#N/A</v>
      </c>
      <c r="T3" s="245" t="s">
        <v>416</v>
      </c>
      <c r="U3" s="237"/>
      <c r="V3" s="2492"/>
      <c r="W3" s="2493"/>
      <c r="X3" s="2493"/>
      <c r="Y3" s="2493"/>
      <c r="Z3" s="2493"/>
      <c r="AA3" s="2493"/>
      <c r="AB3" s="2493"/>
      <c r="AC3" s="2493"/>
      <c r="AD3" s="2493"/>
      <c r="AE3" s="2493"/>
      <c r="AF3" s="2494"/>
      <c r="AG3" s="2492" t="e">
        <f>INDEX(PT_DIFFERENTIATION_TER,MATCH(B3,PT_DIFFERENTIATION_TER_ID,0))</f>
        <v>#N/A</v>
      </c>
      <c r="AH3" s="2493"/>
      <c r="AI3" s="2493"/>
      <c r="AJ3" s="2493"/>
      <c r="AK3" s="2493"/>
      <c r="AL3" s="2493"/>
      <c r="AM3" s="2493"/>
      <c r="AN3" s="2493"/>
      <c r="AO3" s="2493"/>
      <c r="AP3" s="2493"/>
      <c r="AQ3" s="2493"/>
      <c r="AR3" s="2494"/>
      <c r="AS3" s="1181" t="s">
        <v>417</v>
      </c>
      <c r="AU3" s="436"/>
      <c r="AV3" s="436" t="str">
        <f t="shared" si="0"/>
        <v>Территория действия тарифа</v>
      </c>
      <c r="AW3" s="436"/>
      <c r="AX3" s="436"/>
      <c r="AY3" s="1078">
        <v>0</v>
      </c>
    </row>
    <row r="4" spans="1:51" ht="23.25" hidden="1" customHeight="1">
      <c r="A4" s="1286"/>
      <c r="B4" s="1286"/>
      <c r="C4" s="1286"/>
      <c r="D4" s="1286"/>
      <c r="E4" s="2507"/>
      <c r="F4" s="2507"/>
      <c r="G4" s="2506">
        <v>1</v>
      </c>
      <c r="H4" s="1286"/>
      <c r="I4" s="1286"/>
      <c r="J4" s="1286"/>
      <c r="K4" s="1286"/>
      <c r="L4" s="1287"/>
      <c r="M4" s="1288"/>
      <c r="N4" s="1288"/>
      <c r="O4" s="1288"/>
      <c r="P4" s="290"/>
      <c r="Q4" s="288"/>
      <c r="R4" s="289"/>
      <c r="S4" s="1416" t="e">
        <f>INDEX(PT_DIFFERENTIATION_NUM_CS,MATCH(C4,PT_DIFFERENTIATION_CS_ID,0))</f>
        <v>#N/A</v>
      </c>
      <c r="T4" s="246" t="s">
        <v>547</v>
      </c>
      <c r="U4" s="237"/>
      <c r="V4" s="2492"/>
      <c r="W4" s="2493"/>
      <c r="X4" s="2493"/>
      <c r="Y4" s="2493"/>
      <c r="Z4" s="2493"/>
      <c r="AA4" s="2493"/>
      <c r="AB4" s="2493"/>
      <c r="AC4" s="2493"/>
      <c r="AD4" s="2493"/>
      <c r="AE4" s="2493"/>
      <c r="AF4" s="2494"/>
      <c r="AG4" s="2492" t="e">
        <f>INDEX(PT_DIFFERENTIATION_CS,MATCH(C4,PT_DIFFERENTIATION_CS_ID,0))</f>
        <v>#N/A</v>
      </c>
      <c r="AH4" s="2493"/>
      <c r="AI4" s="2493"/>
      <c r="AJ4" s="2493"/>
      <c r="AK4" s="2493"/>
      <c r="AL4" s="2493"/>
      <c r="AM4" s="2493"/>
      <c r="AN4" s="2493"/>
      <c r="AO4" s="2493"/>
      <c r="AP4" s="2493"/>
      <c r="AQ4" s="2493"/>
      <c r="AR4" s="2494"/>
      <c r="AS4" s="1181" t="s">
        <v>548</v>
      </c>
      <c r="AU4" s="436"/>
      <c r="AV4" s="436" t="str">
        <f t="shared" si="0"/>
        <v>Наименование централизованной системы горячего водоснабжения</v>
      </c>
      <c r="AW4" s="436"/>
      <c r="AX4" s="436"/>
      <c r="AY4" s="1078">
        <v>0</v>
      </c>
    </row>
    <row r="5" spans="1:51" ht="23.25" hidden="1" customHeight="1">
      <c r="A5" s="1286"/>
      <c r="B5" s="1286"/>
      <c r="C5" s="1286"/>
      <c r="D5" s="1286"/>
      <c r="E5" s="2507"/>
      <c r="F5" s="2507"/>
      <c r="G5" s="2507"/>
      <c r="H5" s="2507"/>
      <c r="I5" s="2504" t="e">
        <f>S4&amp;".1"</f>
        <v>#N/A</v>
      </c>
      <c r="J5" s="1286"/>
      <c r="K5" s="1286"/>
      <c r="L5" s="1287"/>
      <c r="P5" s="2505">
        <v>1</v>
      </c>
      <c r="Q5" s="1404"/>
      <c r="R5" s="292"/>
      <c r="S5" s="1416" t="e">
        <f>$I5</f>
        <v>#N/A</v>
      </c>
      <c r="T5" s="222" t="s">
        <v>500</v>
      </c>
      <c r="U5" s="237"/>
      <c r="V5" s="2576"/>
      <c r="W5" s="2577"/>
      <c r="X5" s="2577"/>
      <c r="Y5" s="2577"/>
      <c r="Z5" s="2577"/>
      <c r="AA5" s="2577"/>
      <c r="AB5" s="2577"/>
      <c r="AC5" s="2577"/>
      <c r="AD5" s="2577"/>
      <c r="AE5" s="2577"/>
      <c r="AF5" s="2578"/>
      <c r="AG5" s="2579"/>
      <c r="AH5" s="2580"/>
      <c r="AI5" s="2580"/>
      <c r="AJ5" s="2580"/>
      <c r="AK5" s="2580"/>
      <c r="AL5" s="2580"/>
      <c r="AM5" s="2580"/>
      <c r="AN5" s="2580"/>
      <c r="AO5" s="2580"/>
      <c r="AP5" s="2580"/>
      <c r="AQ5" s="2580"/>
      <c r="AR5" s="2581"/>
      <c r="AS5" s="1181" t="s">
        <v>501</v>
      </c>
      <c r="AU5" s="436"/>
      <c r="AV5" s="436" t="str">
        <f t="shared" si="0"/>
        <v>Наименование признака дифференциации</v>
      </c>
      <c r="AW5" s="436"/>
      <c r="AX5" s="436"/>
      <c r="AY5" s="1078">
        <v>0</v>
      </c>
    </row>
    <row r="6" spans="1:51" ht="23.25" hidden="1" customHeight="1">
      <c r="A6" s="1286"/>
      <c r="B6" s="1286"/>
      <c r="C6" s="1286"/>
      <c r="D6" s="1286"/>
      <c r="E6" s="2507"/>
      <c r="F6" s="2507"/>
      <c r="G6" s="2507"/>
      <c r="H6" s="2507"/>
      <c r="I6" s="2527"/>
      <c r="J6" s="2504" t="e">
        <f>I5&amp;".1"</f>
        <v>#N/A</v>
      </c>
      <c r="K6" s="1286"/>
      <c r="L6" s="1287" t="s">
        <v>425</v>
      </c>
      <c r="P6" s="2505"/>
      <c r="Q6" s="2505">
        <v>1</v>
      </c>
      <c r="R6" s="293"/>
      <c r="S6" s="1416" t="e">
        <f>$J6</f>
        <v>#N/A</v>
      </c>
      <c r="T6" s="223" t="s">
        <v>426</v>
      </c>
      <c r="U6" s="237"/>
      <c r="V6" s="2495"/>
      <c r="W6" s="2496"/>
      <c r="X6" s="2496"/>
      <c r="Y6" s="2496"/>
      <c r="Z6" s="2496"/>
      <c r="AA6" s="2496"/>
      <c r="AB6" s="2496"/>
      <c r="AC6" s="2496"/>
      <c r="AD6" s="2496"/>
      <c r="AE6" s="2496"/>
      <c r="AF6" s="2497"/>
      <c r="AG6" s="2495"/>
      <c r="AH6" s="2496"/>
      <c r="AI6" s="2496"/>
      <c r="AJ6" s="2496"/>
      <c r="AK6" s="2496"/>
      <c r="AL6" s="2496"/>
      <c r="AM6" s="2496"/>
      <c r="AN6" s="2496"/>
      <c r="AO6" s="2496"/>
      <c r="AP6" s="2496"/>
      <c r="AQ6" s="2496"/>
      <c r="AR6" s="2497"/>
      <c r="AS6" s="1230" t="s">
        <v>502</v>
      </c>
      <c r="AU6" s="436"/>
      <c r="AV6" s="436" t="str">
        <f t="shared" si="0"/>
        <v>Группа потребителей</v>
      </c>
      <c r="AW6" s="436"/>
      <c r="AX6" s="436"/>
      <c r="AY6" s="1078">
        <v>0</v>
      </c>
    </row>
    <row r="7" spans="1:51" ht="23.25" hidden="1" customHeight="1">
      <c r="A7" s="1286"/>
      <c r="B7" s="1286"/>
      <c r="C7" s="1286"/>
      <c r="D7" s="1286"/>
      <c r="E7" s="2507"/>
      <c r="F7" s="2507"/>
      <c r="G7" s="2507"/>
      <c r="H7" s="2507"/>
      <c r="I7" s="2527"/>
      <c r="J7" s="2527"/>
      <c r="K7" s="2504" t="e">
        <f>J6&amp;".1"</f>
        <v>#N/A</v>
      </c>
      <c r="L7" s="1287"/>
      <c r="P7" s="2505"/>
      <c r="Q7" s="2505"/>
      <c r="R7" s="293">
        <v>1</v>
      </c>
      <c r="S7" s="1416" t="e">
        <f>$K7</f>
        <v>#N/A</v>
      </c>
      <c r="T7" s="1360"/>
      <c r="U7" s="237"/>
      <c r="V7" s="686"/>
      <c r="W7" s="686"/>
      <c r="X7" s="686"/>
      <c r="Y7" s="686"/>
      <c r="Z7" s="686"/>
      <c r="AA7" s="686"/>
      <c r="AB7" s="1180"/>
      <c r="AC7" s="2509"/>
      <c r="AD7" s="2360" t="s">
        <v>63</v>
      </c>
      <c r="AE7" s="2509"/>
      <c r="AF7" s="2360" t="s">
        <v>63</v>
      </c>
      <c r="AG7" s="686"/>
      <c r="AH7" s="686"/>
      <c r="AI7" s="686"/>
      <c r="AJ7" s="686"/>
      <c r="AK7" s="686"/>
      <c r="AL7" s="686"/>
      <c r="AM7" s="1180"/>
      <c r="AN7" s="2509"/>
      <c r="AO7" s="2360" t="s">
        <v>63</v>
      </c>
      <c r="AP7" s="2528"/>
      <c r="AQ7" s="2360" t="s">
        <v>63</v>
      </c>
      <c r="AR7" s="1361"/>
      <c r="AS7" s="257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78">
        <v>0</v>
      </c>
    </row>
    <row r="8" spans="1:51" ht="14.25" hidden="1" customHeight="1">
      <c r="A8" s="1286"/>
      <c r="B8" s="1286"/>
      <c r="C8" s="1286"/>
      <c r="D8" s="1286"/>
      <c r="E8" s="2507"/>
      <c r="F8" s="2507"/>
      <c r="G8" s="2507"/>
      <c r="H8" s="2507"/>
      <c r="I8" s="2527"/>
      <c r="J8" s="2527"/>
      <c r="K8" s="2504"/>
      <c r="L8" s="1287"/>
      <c r="P8" s="2505"/>
      <c r="Q8" s="2505"/>
      <c r="R8" s="293"/>
      <c r="S8" s="1413"/>
      <c r="T8" s="237"/>
      <c r="U8" s="237"/>
      <c r="V8" s="262"/>
      <c r="W8" s="262"/>
      <c r="X8" s="262"/>
      <c r="Y8" s="262"/>
      <c r="Z8" s="262"/>
      <c r="AA8" s="262"/>
      <c r="AB8" s="265" t="str">
        <f>AC7&amp;"-"&amp;AE7</f>
        <v>-</v>
      </c>
      <c r="AC8" s="2510"/>
      <c r="AD8" s="2360"/>
      <c r="AE8" s="2510"/>
      <c r="AF8" s="2360"/>
      <c r="AG8" s="262"/>
      <c r="AH8" s="262"/>
      <c r="AI8" s="262"/>
      <c r="AJ8" s="262"/>
      <c r="AK8" s="262"/>
      <c r="AL8" s="262"/>
      <c r="AM8" s="265" t="str">
        <f>AN7&amp;"-"&amp;AP7</f>
        <v>-</v>
      </c>
      <c r="AN8" s="2510"/>
      <c r="AO8" s="2360"/>
      <c r="AP8" s="2529"/>
      <c r="AQ8" s="2360"/>
      <c r="AR8" s="1362"/>
      <c r="AS8" s="2575"/>
      <c r="AU8" s="436"/>
      <c r="AV8" s="436" t="str">
        <f t="shared" si="0"/>
        <v/>
      </c>
      <c r="AW8" s="436"/>
      <c r="AX8" s="436"/>
      <c r="AY8" s="1078">
        <v>0</v>
      </c>
    </row>
    <row r="9" spans="1:51" ht="21" hidden="1" customHeight="1">
      <c r="A9" s="1286"/>
      <c r="B9" s="1286"/>
      <c r="C9" s="1286"/>
      <c r="D9" s="1286"/>
      <c r="E9" s="2507"/>
      <c r="F9" s="2507"/>
      <c r="G9" s="2507"/>
      <c r="H9" s="2507"/>
      <c r="I9" s="2527"/>
      <c r="J9" s="2504"/>
      <c r="K9" s="1286"/>
      <c r="L9" s="1287"/>
      <c r="P9" s="2505"/>
      <c r="Q9" s="2505"/>
      <c r="R9" s="292"/>
      <c r="S9" s="1201"/>
      <c r="T9" s="224" t="s">
        <v>503</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81" t="s">
        <v>504</v>
      </c>
      <c r="AU9" s="436"/>
      <c r="AV9" s="436" t="str">
        <f t="shared" si="0"/>
        <v>Добавить значение признака дифференциации</v>
      </c>
      <c r="AW9" s="436"/>
      <c r="AX9" s="436"/>
      <c r="AY9" s="1078">
        <v>0</v>
      </c>
    </row>
    <row r="10" spans="1:51" ht="21" hidden="1" customHeight="1">
      <c r="A10" s="1286"/>
      <c r="B10" s="1286"/>
      <c r="C10" s="1286"/>
      <c r="D10" s="1286"/>
      <c r="E10" s="2507"/>
      <c r="F10" s="2507"/>
      <c r="G10" s="2507"/>
      <c r="H10" s="2507"/>
      <c r="I10" s="2504"/>
      <c r="J10" s="1286"/>
      <c r="K10" s="1286"/>
      <c r="L10" s="1287"/>
      <c r="P10" s="2505"/>
      <c r="Q10" s="1404"/>
      <c r="R10" s="292"/>
      <c r="S10" s="1201"/>
      <c r="T10" s="301" t="s">
        <v>431</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63"/>
      <c r="AU10" s="436"/>
      <c r="AV10" s="436" t="str">
        <f t="shared" si="0"/>
        <v>Добавить группу потребителей</v>
      </c>
      <c r="AW10" s="436"/>
      <c r="AX10" s="436"/>
      <c r="AY10" s="1078">
        <v>0</v>
      </c>
    </row>
    <row r="11" spans="1:51" ht="21" hidden="1" customHeight="1">
      <c r="A11" s="1286"/>
      <c r="B11" s="1286"/>
      <c r="C11" s="1286"/>
      <c r="D11" s="1286"/>
      <c r="E11" s="2507"/>
      <c r="F11" s="2507"/>
      <c r="G11" s="2507"/>
      <c r="H11" s="2506"/>
      <c r="I11" s="1286"/>
      <c r="J11" s="1286"/>
      <c r="K11" s="1286"/>
      <c r="L11" s="1287"/>
      <c r="M11" s="1288"/>
      <c r="N11" s="1288"/>
      <c r="O11" s="473"/>
      <c r="P11" s="296"/>
      <c r="Q11" s="311"/>
      <c r="R11" s="291"/>
      <c r="S11" s="1201"/>
      <c r="T11" s="308" t="s">
        <v>505</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78">
        <v>0</v>
      </c>
    </row>
    <row r="12" spans="1:51" s="1565" customFormat="1" ht="14.25" hidden="1" customHeight="1">
      <c r="A12" s="1266"/>
      <c r="B12" s="1266"/>
      <c r="C12" s="1237"/>
      <c r="D12" s="1237"/>
      <c r="E12" s="2507"/>
      <c r="F12" s="2506"/>
      <c r="G12" s="1237"/>
      <c r="H12" s="1237"/>
      <c r="I12" s="1237"/>
      <c r="J12" s="1237"/>
      <c r="K12" s="1237"/>
      <c r="L12" s="1417"/>
      <c r="M12" s="1244"/>
      <c r="N12" s="1244"/>
      <c r="P12" s="1239"/>
      <c r="Q12" s="1240"/>
      <c r="R12" s="1239"/>
      <c r="S12" s="1245"/>
      <c r="T12" s="1248" t="s">
        <v>434</v>
      </c>
      <c r="U12" s="1247"/>
      <c r="V12" s="1247"/>
      <c r="W12" s="1247"/>
      <c r="X12" s="1247"/>
      <c r="Y12" s="1247"/>
      <c r="Z12" s="1247"/>
      <c r="AA12" s="1247"/>
      <c r="AB12" s="1247"/>
      <c r="AC12" s="1247"/>
      <c r="AD12" s="1247"/>
      <c r="AE12" s="1247"/>
      <c r="AF12" s="1247"/>
      <c r="AG12" s="1247"/>
      <c r="AH12" s="1247"/>
      <c r="AI12" s="1247"/>
      <c r="AJ12" s="1247"/>
      <c r="AK12" s="1247"/>
      <c r="AL12" s="1247"/>
      <c r="AM12" s="1247"/>
      <c r="AN12" s="1247"/>
      <c r="AO12" s="1247"/>
      <c r="AP12" s="1247"/>
      <c r="AQ12" s="1247"/>
      <c r="AR12" s="1247"/>
      <c r="AS12" s="1247"/>
      <c r="AU12" s="718"/>
      <c r="AV12" s="718" t="str">
        <f t="shared" si="0"/>
        <v>Добавить централизованную систему для дифференциации</v>
      </c>
      <c r="AW12" s="718"/>
      <c r="AX12" s="718"/>
      <c r="AY12" s="454">
        <v>0</v>
      </c>
    </row>
    <row r="13" spans="1:51" s="1565" customFormat="1" ht="14.25" hidden="1" customHeight="1">
      <c r="A13" s="1266"/>
      <c r="B13" s="1266"/>
      <c r="C13" s="1266"/>
      <c r="D13" s="1266"/>
      <c r="E13" s="2506"/>
      <c r="F13" s="1266"/>
      <c r="G13" s="1266"/>
      <c r="H13" s="1266"/>
      <c r="I13" s="1266"/>
      <c r="J13" s="1266"/>
      <c r="K13" s="1266"/>
      <c r="L13" s="1269"/>
      <c r="M13" s="1244"/>
      <c r="N13" s="1244"/>
      <c r="O13" s="454"/>
      <c r="P13" s="316"/>
      <c r="Q13" s="1267"/>
      <c r="R13" s="316"/>
      <c r="S13" s="1245"/>
      <c r="T13" s="1248" t="s">
        <v>435</v>
      </c>
      <c r="U13" s="1247"/>
      <c r="V13" s="1247"/>
      <c r="W13" s="1247"/>
      <c r="X13" s="1247"/>
      <c r="Y13" s="1247"/>
      <c r="Z13" s="1247"/>
      <c r="AA13" s="1247"/>
      <c r="AB13" s="1247"/>
      <c r="AC13" s="1247"/>
      <c r="AD13" s="1247"/>
      <c r="AE13" s="1247"/>
      <c r="AF13" s="1247"/>
      <c r="AG13" s="1247"/>
      <c r="AH13" s="1247"/>
      <c r="AI13" s="1247"/>
      <c r="AJ13" s="1247"/>
      <c r="AK13" s="1247"/>
      <c r="AL13" s="1247"/>
      <c r="AM13" s="1247"/>
      <c r="AN13" s="1247"/>
      <c r="AO13" s="1247"/>
      <c r="AP13" s="1247"/>
      <c r="AQ13" s="1247"/>
      <c r="AR13" s="1247"/>
      <c r="AS13" s="1247"/>
      <c r="AU13" s="436"/>
      <c r="AV13" s="436" t="str">
        <f t="shared" si="0"/>
        <v>Добавить территорию для дифференциации</v>
      </c>
      <c r="AW13" s="436"/>
      <c r="AX13" s="436"/>
      <c r="AY13" s="447">
        <v>0</v>
      </c>
    </row>
    <row r="14" spans="1:51" ht="14.25" hidden="1" customHeight="1">
      <c r="AF14" s="264"/>
      <c r="AQ14" s="264"/>
      <c r="AY14" s="1078">
        <v>0</v>
      </c>
    </row>
    <row r="15" spans="1:51" ht="14.25" hidden="1" customHeight="1">
      <c r="AG15" s="1283"/>
      <c r="AH15" s="1283"/>
      <c r="AI15" s="1283"/>
      <c r="AJ15" s="1283"/>
      <c r="AK15" s="1283"/>
      <c r="AL15" s="1283"/>
      <c r="AM15" s="1284"/>
      <c r="AN15" s="2511"/>
      <c r="AO15" s="2512" t="s">
        <v>63</v>
      </c>
      <c r="AP15" s="2511"/>
      <c r="AQ15" s="2512" t="s">
        <v>63</v>
      </c>
      <c r="AY15" s="1078">
        <v>0</v>
      </c>
    </row>
    <row r="16" spans="1:51" ht="14.25" hidden="1" customHeight="1">
      <c r="AG16" s="1283"/>
      <c r="AH16" s="1283"/>
      <c r="AI16" s="1283"/>
      <c r="AJ16" s="1283"/>
      <c r="AK16" s="1283"/>
      <c r="AL16" s="1283"/>
      <c r="AM16" s="265" t="str">
        <f>AN15&amp;"-"&amp;AP15</f>
        <v>-</v>
      </c>
      <c r="AN16" s="2512"/>
      <c r="AO16" s="2512"/>
      <c r="AP16" s="2512"/>
      <c r="AQ16" s="2512"/>
      <c r="AY16" s="1078">
        <v>0</v>
      </c>
    </row>
    <row r="17" spans="1:51" ht="14.25" hidden="1" customHeight="1">
      <c r="AQ17" s="264"/>
      <c r="AY17" s="1078">
        <v>0</v>
      </c>
    </row>
    <row r="18" spans="1:51" s="1289" customFormat="1" ht="22.5" hidden="1" customHeight="1">
      <c r="L18" s="1401"/>
      <c r="M18" s="1285"/>
      <c r="N18" s="1285"/>
      <c r="O18" s="1290" t="s">
        <v>436</v>
      </c>
      <c r="P18" s="1285"/>
      <c r="Q18" s="1294"/>
      <c r="R18" s="1294"/>
      <c r="S18" s="665"/>
      <c r="AC18" s="1290"/>
      <c r="AE18" s="1290"/>
      <c r="AN18" s="1290"/>
      <c r="AP18" s="1290"/>
      <c r="AT18" s="447"/>
      <c r="AU18" s="447"/>
      <c r="AV18" s="447"/>
      <c r="AW18" s="447"/>
      <c r="AX18" s="447"/>
      <c r="AY18" s="1083">
        <v>0</v>
      </c>
    </row>
    <row r="19" spans="1:51" s="1289" customFormat="1" ht="14.25" hidden="1" customHeight="1">
      <c r="L19" s="1401"/>
      <c r="M19" s="1285"/>
      <c r="N19" s="1285"/>
      <c r="O19" s="1285"/>
      <c r="P19" s="1285"/>
      <c r="Q19" s="1294"/>
      <c r="R19" s="1294"/>
      <c r="S19" s="665"/>
      <c r="AT19" s="447"/>
      <c r="AU19" s="447"/>
      <c r="AV19" s="447"/>
      <c r="AW19" s="447"/>
      <c r="AX19" s="447"/>
      <c r="AY19" s="1083">
        <v>0</v>
      </c>
    </row>
    <row r="20" spans="1:51" s="1289" customFormat="1" ht="12" hidden="1" customHeight="1">
      <c r="L20" s="1401"/>
      <c r="M20" s="1285"/>
      <c r="N20" s="1285"/>
      <c r="O20" s="1287" t="s">
        <v>437</v>
      </c>
      <c r="P20" s="1285"/>
      <c r="Q20" s="1365"/>
      <c r="R20" s="1365"/>
      <c r="S20" s="665"/>
      <c r="T20" s="1083" t="s">
        <v>438</v>
      </c>
      <c r="AD20" s="123" t="s">
        <v>439</v>
      </c>
      <c r="AF20" s="123" t="s">
        <v>440</v>
      </c>
      <c r="AG20" s="1083" t="s">
        <v>438</v>
      </c>
      <c r="AO20" s="123" t="s">
        <v>441</v>
      </c>
      <c r="AQ20" s="123" t="s">
        <v>440</v>
      </c>
      <c r="AY20" s="1083">
        <v>0</v>
      </c>
    </row>
    <row r="21" spans="1:51" ht="14.25" hidden="1" customHeight="1">
      <c r="O21" s="1287"/>
      <c r="AY21" s="1078">
        <v>0</v>
      </c>
    </row>
    <row r="22" spans="1:51" ht="14.25" hidden="1" customHeight="1">
      <c r="O22" s="1287"/>
      <c r="AY22" s="1078">
        <v>0</v>
      </c>
    </row>
    <row r="23" spans="1:51" ht="14.65" customHeight="1">
      <c r="Q23" s="312"/>
      <c r="R23" s="312"/>
      <c r="S23" s="1198"/>
      <c r="T23" s="299"/>
      <c r="U23" s="299"/>
      <c r="V23" s="445"/>
      <c r="AB23" s="445"/>
      <c r="AC23" s="445"/>
      <c r="AD23" s="445"/>
      <c r="AE23" s="445"/>
      <c r="AF23" s="445"/>
      <c r="AG23" s="445"/>
      <c r="AM23" s="445"/>
      <c r="AN23" s="445"/>
      <c r="AO23" s="445"/>
      <c r="AP23" s="445"/>
      <c r="AQ23" s="445"/>
      <c r="AY23" s="1078">
        <v>14</v>
      </c>
    </row>
    <row r="24" spans="1:51" ht="26.25" customHeight="1">
      <c r="Q24" s="312"/>
      <c r="R24" s="312"/>
      <c r="S24" s="249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490"/>
      <c r="U24" s="2490"/>
      <c r="V24" s="2490"/>
      <c r="W24" s="2490"/>
      <c r="X24" s="2490"/>
      <c r="Y24" s="2490"/>
      <c r="Z24" s="2490"/>
      <c r="AA24" s="2490"/>
      <c r="AB24" s="2490"/>
      <c r="AC24" s="2490"/>
      <c r="AD24" s="2490"/>
      <c r="AE24" s="2490"/>
      <c r="AF24" s="2490"/>
      <c r="AG24" s="2490"/>
      <c r="AH24" s="2490"/>
      <c r="AI24" s="2490"/>
      <c r="AJ24" s="2490"/>
      <c r="AK24" s="2490"/>
      <c r="AL24" s="2490"/>
      <c r="AM24" s="2490"/>
      <c r="AN24" s="2490"/>
      <c r="AO24" s="2490"/>
      <c r="AP24" s="2490"/>
      <c r="AQ24" s="1166"/>
      <c r="AY24" s="1078">
        <v>25</v>
      </c>
    </row>
    <row r="25" spans="1:51" ht="14.65" customHeight="1">
      <c r="Q25" s="312"/>
      <c r="R25" s="312"/>
      <c r="S25" s="2436" t="str">
        <f>IF(org=0,"Не определено",org)</f>
        <v>ПАО "ТГК-2"</v>
      </c>
      <c r="T25" s="2436"/>
      <c r="U25" s="2436"/>
      <c r="V25" s="2436"/>
      <c r="W25" s="2436"/>
      <c r="X25" s="2436"/>
      <c r="Y25" s="2436"/>
      <c r="Z25" s="2436"/>
      <c r="AA25" s="2436"/>
      <c r="AB25" s="2436"/>
      <c r="AC25" s="2436"/>
      <c r="AD25" s="2436"/>
      <c r="AE25" s="2436"/>
      <c r="AF25" s="2436"/>
      <c r="AG25" s="2436"/>
      <c r="AH25" s="2436"/>
      <c r="AI25" s="2436"/>
      <c r="AJ25" s="2436"/>
      <c r="AK25" s="2436"/>
      <c r="AL25" s="2436"/>
      <c r="AM25" s="2436"/>
      <c r="AN25" s="2436"/>
      <c r="AO25" s="2436"/>
      <c r="AP25" s="2436"/>
      <c r="AQ25" s="1166"/>
      <c r="AY25" s="1078">
        <v>14</v>
      </c>
    </row>
    <row r="26" spans="1:51" ht="14.25" hidden="1" customHeight="1">
      <c r="Q26" s="312"/>
      <c r="R26" s="312"/>
      <c r="S26" s="1198"/>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78">
        <v>0</v>
      </c>
    </row>
    <row r="27" spans="1:51" s="1770" customFormat="1" ht="25.5" hidden="1" customHeight="1">
      <c r="A27" s="1291"/>
      <c r="B27" s="1291"/>
      <c r="C27" s="1291"/>
      <c r="D27" s="1291"/>
      <c r="E27" s="1291"/>
      <c r="F27" s="1291"/>
      <c r="G27" s="1291"/>
      <c r="H27" s="1291"/>
      <c r="I27" s="1291"/>
      <c r="J27" s="1291"/>
      <c r="K27" s="1291"/>
      <c r="L27" s="1292"/>
      <c r="M27" s="1291"/>
      <c r="N27" s="1291"/>
      <c r="O27" s="1291"/>
      <c r="S27" s="249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498"/>
      <c r="U27" s="1295"/>
      <c r="V27" s="2499" t="str">
        <f>IF(TITLE_NAME_OR_PR_CHANGE="",IF(TITLE_NAME_OR_PR="","",TITLE_NAME_OR_PR),TITLE_NAME_OR_PR_CHANGE)</f>
        <v/>
      </c>
      <c r="W27" s="2499"/>
      <c r="X27" s="2499"/>
      <c r="Y27" s="2499"/>
      <c r="Z27" s="2499"/>
      <c r="AA27" s="2499"/>
      <c r="AB27" s="2499"/>
      <c r="AC27" s="2499"/>
      <c r="AD27" s="2499"/>
      <c r="AE27" s="2499"/>
      <c r="AF27" s="263"/>
      <c r="AG27" s="2499" t="str">
        <f>IF(TITLE_NAME_OR_PR_CHANGE="",IF(TITLE_NAME_OR_PR="","",TITLE_NAME_OR_PR),TITLE_NAME_OR_PR_CHANGE)</f>
        <v/>
      </c>
      <c r="AH27" s="2499"/>
      <c r="AI27" s="2499"/>
      <c r="AJ27" s="2499"/>
      <c r="AK27" s="2499"/>
      <c r="AL27" s="2499"/>
      <c r="AM27" s="2499"/>
      <c r="AN27" s="2499"/>
      <c r="AO27" s="2499"/>
      <c r="AP27" s="2499"/>
      <c r="AQ27" s="263"/>
      <c r="AR27" s="263"/>
      <c r="AS27" s="217"/>
      <c r="AT27" s="304"/>
      <c r="AU27" s="304"/>
      <c r="AV27" s="304"/>
      <c r="AW27" s="304"/>
      <c r="AX27" s="304"/>
      <c r="AY27" s="354">
        <v>0</v>
      </c>
    </row>
    <row r="28" spans="1:51" s="1770" customFormat="1" ht="18.75" hidden="1" customHeight="1">
      <c r="A28" s="1291"/>
      <c r="B28" s="1291"/>
      <c r="C28" s="1291"/>
      <c r="D28" s="1291"/>
      <c r="E28" s="1291"/>
      <c r="F28" s="1291"/>
      <c r="G28" s="1291"/>
      <c r="H28" s="1291"/>
      <c r="I28" s="1291"/>
      <c r="J28" s="1291"/>
      <c r="K28" s="1291"/>
      <c r="L28" s="1292"/>
      <c r="M28" s="1291"/>
      <c r="N28" s="1291"/>
      <c r="O28" s="1291"/>
      <c r="S28" s="2498" t="str">
        <f>"Дата документа об "&amp;IF(TITLE_DATE_PR_CHANGE="","утверждении","изменении")&amp;" тарифов"</f>
        <v>Дата документа об утверждении тарифов</v>
      </c>
      <c r="T28" s="2498"/>
      <c r="U28" s="1295"/>
      <c r="V28" s="2508" t="str">
        <f>IF(TITLE_DATE_PR_CHANGE="",IF(TITLE_DATE_PR="","",TITLE_DATE_PR),TITLE_DATE_PR_CHANGE)</f>
        <v/>
      </c>
      <c r="W28" s="2508"/>
      <c r="X28" s="2508"/>
      <c r="Y28" s="2508"/>
      <c r="Z28" s="2508"/>
      <c r="AA28" s="2508"/>
      <c r="AB28" s="2508"/>
      <c r="AC28" s="2508"/>
      <c r="AD28" s="2508"/>
      <c r="AE28" s="2508"/>
      <c r="AF28" s="263"/>
      <c r="AG28" s="2508" t="str">
        <f>IF(TITLE_DATE_PR_CHANGE="",IF(TITLE_DATE_PR="","",TITLE_DATE_PR),TITLE_DATE_PR_CHANGE)</f>
        <v/>
      </c>
      <c r="AH28" s="2508"/>
      <c r="AI28" s="2508"/>
      <c r="AJ28" s="2508"/>
      <c r="AK28" s="2508"/>
      <c r="AL28" s="2508"/>
      <c r="AM28" s="2508"/>
      <c r="AN28" s="2508"/>
      <c r="AO28" s="2508"/>
      <c r="AP28" s="2508"/>
      <c r="AQ28" s="263"/>
      <c r="AR28" s="263"/>
      <c r="AS28" s="217"/>
      <c r="AT28" s="304"/>
      <c r="AU28" s="304"/>
      <c r="AV28" s="304"/>
      <c r="AW28" s="304"/>
      <c r="AX28" s="304"/>
      <c r="AY28" s="354">
        <v>0</v>
      </c>
    </row>
    <row r="29" spans="1:51" s="1770" customFormat="1" ht="18.75" hidden="1" customHeight="1">
      <c r="A29" s="1291"/>
      <c r="B29" s="1291"/>
      <c r="C29" s="1291"/>
      <c r="D29" s="1291"/>
      <c r="E29" s="1291"/>
      <c r="F29" s="1291"/>
      <c r="G29" s="1291"/>
      <c r="H29" s="1291"/>
      <c r="I29" s="1291"/>
      <c r="J29" s="1291"/>
      <c r="K29" s="1291"/>
      <c r="L29" s="1292"/>
      <c r="M29" s="1291"/>
      <c r="N29" s="1291"/>
      <c r="O29" s="1291"/>
      <c r="S29" s="2498" t="str">
        <f>"Номер документа об "&amp;IF(TITLE_DATE_PR_CHANGE="","утверждении","изменении")&amp;" тарифов"</f>
        <v>Номер документа об утверждении тарифов</v>
      </c>
      <c r="T29" s="2498"/>
      <c r="U29" s="1295"/>
      <c r="V29" s="2499" t="str">
        <f>IF(TITLE_NUMBER_PR_CHANGE="",IF(TITLE_NUMBER_PR="","",TITLE_NUMBER_PR),TITLE_NUMBER_PR_CHANGE)</f>
        <v/>
      </c>
      <c r="W29" s="2499"/>
      <c r="X29" s="2499"/>
      <c r="Y29" s="2499"/>
      <c r="Z29" s="2499"/>
      <c r="AA29" s="2499"/>
      <c r="AB29" s="2499"/>
      <c r="AC29" s="2499"/>
      <c r="AD29" s="2499"/>
      <c r="AE29" s="2499"/>
      <c r="AF29" s="263"/>
      <c r="AG29" s="2499" t="str">
        <f>IF(TITLE_NUMBER_PR_CHANGE="",IF(TITLE_NUMBER_PR="","",TITLE_NUMBER_PR),TITLE_NUMBER_PR_CHANGE)</f>
        <v/>
      </c>
      <c r="AH29" s="2499"/>
      <c r="AI29" s="2499"/>
      <c r="AJ29" s="2499"/>
      <c r="AK29" s="2499"/>
      <c r="AL29" s="2499"/>
      <c r="AM29" s="2499"/>
      <c r="AN29" s="2499"/>
      <c r="AO29" s="2499"/>
      <c r="AP29" s="2499"/>
      <c r="AQ29" s="263"/>
      <c r="AR29" s="263"/>
      <c r="AS29" s="217"/>
      <c r="AT29" s="304"/>
      <c r="AU29" s="304"/>
      <c r="AV29" s="304"/>
      <c r="AW29" s="304"/>
      <c r="AX29" s="304"/>
      <c r="AY29" s="354">
        <v>0</v>
      </c>
    </row>
    <row r="30" spans="1:51" s="1770" customFormat="1" ht="18.75" hidden="1" customHeight="1">
      <c r="A30" s="1291"/>
      <c r="B30" s="1291"/>
      <c r="C30" s="1291"/>
      <c r="D30" s="1291"/>
      <c r="E30" s="1291"/>
      <c r="F30" s="1291"/>
      <c r="G30" s="1291"/>
      <c r="H30" s="1291"/>
      <c r="I30" s="1291"/>
      <c r="J30" s="1291"/>
      <c r="K30" s="1291"/>
      <c r="L30" s="1292"/>
      <c r="M30" s="1291"/>
      <c r="N30" s="1291"/>
      <c r="O30" s="1291"/>
      <c r="S30" s="2498" t="s">
        <v>43</v>
      </c>
      <c r="T30" s="2498"/>
      <c r="U30" s="1295"/>
      <c r="V30" s="2499" t="str">
        <f>IF(TITLE_IST_PUB_CHANGE="",IF(TITLE_IST_PUB="","",TITLE_IST_PUB),TITLE_IST_PUB_CHANGE)</f>
        <v/>
      </c>
      <c r="W30" s="2499"/>
      <c r="X30" s="2499"/>
      <c r="Y30" s="2499"/>
      <c r="Z30" s="2499"/>
      <c r="AA30" s="2499"/>
      <c r="AB30" s="2499"/>
      <c r="AC30" s="2499"/>
      <c r="AD30" s="2499"/>
      <c r="AE30" s="2499"/>
      <c r="AF30" s="263"/>
      <c r="AG30" s="2499" t="str">
        <f>IF(TITLE_IST_PUB_CHANGE="",IF(TITLE_IST_PUB="","",TITLE_IST_PUB),TITLE_IST_PUB_CHANGE)</f>
        <v/>
      </c>
      <c r="AH30" s="2499"/>
      <c r="AI30" s="2499"/>
      <c r="AJ30" s="2499"/>
      <c r="AK30" s="2499"/>
      <c r="AL30" s="2499"/>
      <c r="AM30" s="2499"/>
      <c r="AN30" s="2499"/>
      <c r="AO30" s="2499"/>
      <c r="AP30" s="2499"/>
      <c r="AQ30" s="263"/>
      <c r="AR30" s="263"/>
      <c r="AS30" s="217"/>
      <c r="AT30" s="304"/>
      <c r="AU30" s="304"/>
      <c r="AV30" s="304"/>
      <c r="AW30" s="304"/>
      <c r="AX30" s="304"/>
      <c r="AY30" s="354">
        <v>0</v>
      </c>
    </row>
    <row r="31" spans="1:51" ht="14.25" hidden="1" customHeight="1">
      <c r="Q31" s="312"/>
      <c r="R31" s="312"/>
      <c r="S31" s="1198"/>
      <c r="T31" s="393"/>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78">
        <v>0</v>
      </c>
    </row>
    <row r="32" spans="1:51" s="1770" customFormat="1" ht="18.75" hidden="1" customHeight="1">
      <c r="A32" s="1291"/>
      <c r="B32" s="1291"/>
      <c r="C32" s="1291"/>
      <c r="D32" s="1291"/>
      <c r="E32" s="1291"/>
      <c r="F32" s="1291"/>
      <c r="G32" s="1291"/>
      <c r="H32" s="1291"/>
      <c r="I32" s="1291"/>
      <c r="J32" s="1291"/>
      <c r="K32" s="1291"/>
      <c r="L32" s="1292"/>
      <c r="M32" s="1291"/>
      <c r="N32" s="1291"/>
      <c r="O32" s="1291"/>
      <c r="S32" s="2498" t="str">
        <f>"Дата подачи заявления об "&amp;IF(TITLE_DATE_PR_CHANGE="","утверждении","изменении")&amp;" тарифов"</f>
        <v>Дата подачи заявления об утверждении тарифов</v>
      </c>
      <c r="T32" s="2498"/>
      <c r="U32" s="1295"/>
      <c r="V32" s="2508" t="str">
        <f>IF(TITLE_DATE_PR_CHANGE="",IF(TITLE_DATE_PR="","",TITLE_DATE_PR),TITLE_DATE_PR_CHANGE)</f>
        <v/>
      </c>
      <c r="W32" s="2508"/>
      <c r="X32" s="2508"/>
      <c r="Y32" s="2508"/>
      <c r="Z32" s="2508"/>
      <c r="AA32" s="2508"/>
      <c r="AB32" s="2508"/>
      <c r="AC32" s="2508"/>
      <c r="AD32" s="2508"/>
      <c r="AE32" s="2508"/>
      <c r="AF32" s="263"/>
      <c r="AG32" s="2508" t="str">
        <f>IF(TITLE_DATE_PR_CHANGE="",IF(TITLE_DATE_PR="","",TITLE_DATE_PR),TITLE_DATE_PR_CHANGE)</f>
        <v/>
      </c>
      <c r="AH32" s="2508"/>
      <c r="AI32" s="2508"/>
      <c r="AJ32" s="2508"/>
      <c r="AK32" s="2508"/>
      <c r="AL32" s="2508"/>
      <c r="AM32" s="2508"/>
      <c r="AN32" s="2508"/>
      <c r="AO32" s="2508"/>
      <c r="AP32" s="2508"/>
      <c r="AQ32" s="263"/>
      <c r="AR32" s="263"/>
      <c r="AS32" s="217"/>
      <c r="AT32" s="304"/>
      <c r="AU32" s="304"/>
      <c r="AV32" s="304"/>
      <c r="AW32" s="304"/>
      <c r="AX32" s="304"/>
      <c r="AY32" s="354">
        <v>0</v>
      </c>
    </row>
    <row r="33" spans="1:51" s="1770" customFormat="1" ht="18.75" hidden="1" customHeight="1">
      <c r="A33" s="1291"/>
      <c r="B33" s="1291"/>
      <c r="C33" s="1291"/>
      <c r="D33" s="1291"/>
      <c r="E33" s="1291"/>
      <c r="F33" s="1291"/>
      <c r="G33" s="1291"/>
      <c r="H33" s="1291"/>
      <c r="I33" s="1291"/>
      <c r="J33" s="1291"/>
      <c r="K33" s="1291"/>
      <c r="L33" s="1292"/>
      <c r="M33" s="1291"/>
      <c r="N33" s="1291"/>
      <c r="O33" s="1291"/>
      <c r="S33" s="2498" t="str">
        <f>"Номер подачи заявления об "&amp;IF(TITLE_DATE_PR_CHANGE="","утверждении","изменении")&amp;" тарифов"</f>
        <v>Номер подачи заявления об утверждении тарифов</v>
      </c>
      <c r="T33" s="2498"/>
      <c r="U33" s="1295"/>
      <c r="V33" s="2499" t="str">
        <f>IF(TITLE_NUMBER_PR_CHANGE="",IF(TITLE_NUMBER_PR="","",TITLE_NUMBER_PR),TITLE_NUMBER_PR_CHANGE)</f>
        <v/>
      </c>
      <c r="W33" s="2499"/>
      <c r="X33" s="2499"/>
      <c r="Y33" s="2499"/>
      <c r="Z33" s="2499"/>
      <c r="AA33" s="2499"/>
      <c r="AB33" s="2499"/>
      <c r="AC33" s="2499"/>
      <c r="AD33" s="2499"/>
      <c r="AE33" s="2499"/>
      <c r="AF33" s="263"/>
      <c r="AG33" s="2499" t="str">
        <f>IF(TITLE_NUMBER_PR_CHANGE="",IF(TITLE_NUMBER_PR="","",TITLE_NUMBER_PR),TITLE_NUMBER_PR_CHANGE)</f>
        <v/>
      </c>
      <c r="AH33" s="2499"/>
      <c r="AI33" s="2499"/>
      <c r="AJ33" s="2499"/>
      <c r="AK33" s="2499"/>
      <c r="AL33" s="2499"/>
      <c r="AM33" s="2499"/>
      <c r="AN33" s="2499"/>
      <c r="AO33" s="2499"/>
      <c r="AP33" s="2499"/>
      <c r="AQ33" s="263"/>
      <c r="AR33" s="263"/>
      <c r="AS33" s="217"/>
      <c r="AT33" s="304"/>
      <c r="AU33" s="304"/>
      <c r="AV33" s="304"/>
      <c r="AW33" s="304"/>
      <c r="AX33" s="304"/>
      <c r="AY33" s="354">
        <v>0</v>
      </c>
    </row>
    <row r="34" spans="1:51" s="1770" customFormat="1" ht="1.1499999999999999" customHeight="1">
      <c r="A34" s="1291"/>
      <c r="B34" s="1291"/>
      <c r="C34" s="1291"/>
      <c r="D34" s="1291"/>
      <c r="E34" s="1291"/>
      <c r="F34" s="1291"/>
      <c r="G34" s="1291"/>
      <c r="H34" s="1291"/>
      <c r="I34" s="1291"/>
      <c r="J34" s="1291"/>
      <c r="K34" s="1291"/>
      <c r="L34" s="1292"/>
      <c r="M34" s="1291"/>
      <c r="N34" s="1291"/>
      <c r="O34" s="1291"/>
      <c r="S34" s="260"/>
      <c r="T34" s="260"/>
      <c r="U34" s="1411"/>
      <c r="V34" s="263"/>
      <c r="W34" s="1558"/>
      <c r="X34" s="1558"/>
      <c r="Y34" s="1558"/>
      <c r="Z34" s="1558"/>
      <c r="AA34" s="1558"/>
      <c r="AB34" s="263"/>
      <c r="AC34" s="263"/>
      <c r="AD34" s="263"/>
      <c r="AE34" s="263"/>
      <c r="AF34" s="215" t="s">
        <v>442</v>
      </c>
      <c r="AG34" s="263"/>
      <c r="AH34" s="1558"/>
      <c r="AI34" s="1558"/>
      <c r="AJ34" s="1558"/>
      <c r="AK34" s="1558"/>
      <c r="AL34" s="1558"/>
      <c r="AM34" s="263"/>
      <c r="AN34" s="263"/>
      <c r="AO34" s="263"/>
      <c r="AP34" s="263"/>
      <c r="AQ34" s="215" t="s">
        <v>442</v>
      </c>
      <c r="AT34" s="304"/>
      <c r="AU34" s="304"/>
      <c r="AV34" s="304"/>
      <c r="AW34" s="304"/>
      <c r="AX34" s="304"/>
      <c r="AY34" s="354">
        <v>1</v>
      </c>
    </row>
    <row r="35" spans="1:51" ht="14.65" customHeight="1">
      <c r="Q35" s="312"/>
      <c r="R35" s="312"/>
      <c r="S35" s="1198"/>
      <c r="T35" s="299"/>
      <c r="U35" s="1167"/>
      <c r="V35" s="2500"/>
      <c r="W35" s="2500"/>
      <c r="X35" s="2500"/>
      <c r="Y35" s="2500"/>
      <c r="Z35" s="2500"/>
      <c r="AA35" s="2500"/>
      <c r="AB35" s="2500"/>
      <c r="AC35" s="2500"/>
      <c r="AD35" s="2500"/>
      <c r="AE35" s="2500"/>
      <c r="AF35" s="2500"/>
      <c r="AG35" s="2500"/>
      <c r="AH35" s="2500"/>
      <c r="AI35" s="2500"/>
      <c r="AJ35" s="2500"/>
      <c r="AK35" s="2500"/>
      <c r="AL35" s="2500"/>
      <c r="AM35" s="2500"/>
      <c r="AN35" s="2500"/>
      <c r="AO35" s="2500"/>
      <c r="AP35" s="2500"/>
      <c r="AQ35" s="2500"/>
      <c r="AY35" s="1078">
        <v>14</v>
      </c>
    </row>
    <row r="36" spans="1:51" ht="14.65" customHeight="1">
      <c r="Q36" s="312"/>
      <c r="R36" s="312"/>
      <c r="S36" s="2371" t="s">
        <v>319</v>
      </c>
      <c r="T36" s="2371"/>
      <c r="U36" s="2371"/>
      <c r="V36" s="2371"/>
      <c r="W36" s="2371"/>
      <c r="X36" s="2371"/>
      <c r="Y36" s="2371"/>
      <c r="Z36" s="2371"/>
      <c r="AA36" s="2371"/>
      <c r="AB36" s="2371"/>
      <c r="AC36" s="2371"/>
      <c r="AD36" s="2371"/>
      <c r="AE36" s="2371"/>
      <c r="AF36" s="2371"/>
      <c r="AG36" s="2371"/>
      <c r="AH36" s="2371"/>
      <c r="AI36" s="2371"/>
      <c r="AJ36" s="2371"/>
      <c r="AK36" s="2371"/>
      <c r="AL36" s="2371"/>
      <c r="AM36" s="2371"/>
      <c r="AN36" s="2371"/>
      <c r="AO36" s="2371"/>
      <c r="AP36" s="2371"/>
      <c r="AQ36" s="2371"/>
      <c r="AR36" s="2371"/>
      <c r="AS36" s="2371" t="s">
        <v>320</v>
      </c>
      <c r="AY36" s="1078">
        <v>14</v>
      </c>
    </row>
    <row r="37" spans="1:51" ht="14.65" customHeight="1">
      <c r="Q37" s="312"/>
      <c r="R37" s="312"/>
      <c r="S37" s="2514" t="s">
        <v>89</v>
      </c>
      <c r="T37" s="2466" t="s">
        <v>443</v>
      </c>
      <c r="U37" s="238"/>
      <c r="V37" s="2515" t="s">
        <v>444</v>
      </c>
      <c r="W37" s="2516"/>
      <c r="X37" s="2516"/>
      <c r="Y37" s="2516"/>
      <c r="Z37" s="2516"/>
      <c r="AA37" s="2516"/>
      <c r="AB37" s="2516"/>
      <c r="AC37" s="2516"/>
      <c r="AD37" s="2516"/>
      <c r="AE37" s="2517"/>
      <c r="AF37" s="2518" t="s">
        <v>445</v>
      </c>
      <c r="AG37" s="2515" t="s">
        <v>444</v>
      </c>
      <c r="AH37" s="2516"/>
      <c r="AI37" s="2516"/>
      <c r="AJ37" s="2516"/>
      <c r="AK37" s="2516"/>
      <c r="AL37" s="2516"/>
      <c r="AM37" s="2516"/>
      <c r="AN37" s="2516"/>
      <c r="AO37" s="2516"/>
      <c r="AP37" s="2517"/>
      <c r="AQ37" s="2518" t="s">
        <v>446</v>
      </c>
      <c r="AR37" s="2521" t="s">
        <v>447</v>
      </c>
      <c r="AS37" s="2371"/>
      <c r="AY37" s="1078">
        <v>14</v>
      </c>
    </row>
    <row r="38" spans="1:51" s="1558" customFormat="1" ht="19.899999999999999" customHeight="1">
      <c r="A38" s="1289"/>
      <c r="B38" s="1289"/>
      <c r="C38" s="1289"/>
      <c r="D38" s="1289"/>
      <c r="E38" s="1289"/>
      <c r="F38" s="1289"/>
      <c r="G38" s="1289"/>
      <c r="H38" s="1289"/>
      <c r="I38" s="1289"/>
      <c r="J38" s="1289"/>
      <c r="K38" s="1289"/>
      <c r="L38" s="1894"/>
      <c r="M38" s="1285"/>
      <c r="N38" s="1285"/>
      <c r="O38" s="1285"/>
      <c r="P38" s="1895"/>
      <c r="Q38" s="312"/>
      <c r="R38" s="312"/>
      <c r="S38" s="2514"/>
      <c r="T38" s="2466"/>
      <c r="U38" s="958"/>
      <c r="V38" s="2371" t="s">
        <v>549</v>
      </c>
      <c r="W38" s="2590" t="s">
        <v>550</v>
      </c>
      <c r="X38" s="2590"/>
      <c r="Y38" s="2590"/>
      <c r="Z38" s="2590" t="s">
        <v>551</v>
      </c>
      <c r="AA38" s="2590"/>
      <c r="AB38" s="2590"/>
      <c r="AC38" s="2452" t="s">
        <v>451</v>
      </c>
      <c r="AD38" s="2546"/>
      <c r="AE38" s="2453"/>
      <c r="AF38" s="2519"/>
      <c r="AG38" s="2371" t="s">
        <v>549</v>
      </c>
      <c r="AH38" s="2590" t="s">
        <v>550</v>
      </c>
      <c r="AI38" s="2590"/>
      <c r="AJ38" s="2590"/>
      <c r="AK38" s="2590" t="s">
        <v>551</v>
      </c>
      <c r="AL38" s="2590"/>
      <c r="AM38" s="2590"/>
      <c r="AN38" s="2452" t="s">
        <v>451</v>
      </c>
      <c r="AO38" s="2546"/>
      <c r="AP38" s="2453"/>
      <c r="AQ38" s="2519"/>
      <c r="AR38" s="2522"/>
      <c r="AS38" s="2371"/>
      <c r="AT38" s="1559"/>
      <c r="AU38" s="1559"/>
      <c r="AV38" s="1559"/>
      <c r="AW38" s="1559"/>
      <c r="AX38" s="1559"/>
      <c r="AY38" s="1554">
        <v>19</v>
      </c>
    </row>
    <row r="39" spans="1:51" ht="19.899999999999999" customHeight="1">
      <c r="Q39" s="312"/>
      <c r="R39" s="312"/>
      <c r="S39" s="2514"/>
      <c r="T39" s="2466"/>
      <c r="U39" s="958"/>
      <c r="V39" s="2371"/>
      <c r="W39" s="2590" t="s">
        <v>552</v>
      </c>
      <c r="X39" s="2590" t="s">
        <v>553</v>
      </c>
      <c r="Y39" s="2590"/>
      <c r="Z39" s="2590" t="s">
        <v>554</v>
      </c>
      <c r="AA39" s="2590" t="s">
        <v>553</v>
      </c>
      <c r="AB39" s="2590"/>
      <c r="AC39" s="2457"/>
      <c r="AD39" s="2547"/>
      <c r="AE39" s="2458"/>
      <c r="AF39" s="2519"/>
      <c r="AG39" s="2371"/>
      <c r="AH39" s="2590" t="s">
        <v>552</v>
      </c>
      <c r="AI39" s="2590" t="s">
        <v>553</v>
      </c>
      <c r="AJ39" s="2590"/>
      <c r="AK39" s="2590" t="s">
        <v>554</v>
      </c>
      <c r="AL39" s="2590" t="s">
        <v>553</v>
      </c>
      <c r="AM39" s="2590"/>
      <c r="AN39" s="2457"/>
      <c r="AO39" s="2547"/>
      <c r="AP39" s="2458"/>
      <c r="AQ39" s="2519"/>
      <c r="AR39" s="2522"/>
      <c r="AS39" s="2371"/>
      <c r="AY39" s="1078">
        <v>19</v>
      </c>
    </row>
    <row r="40" spans="1:51" ht="61.9" customHeight="1">
      <c r="A40" s="1293"/>
      <c r="B40" s="1293" t="s">
        <v>156</v>
      </c>
      <c r="C40" s="1293" t="s">
        <v>157</v>
      </c>
      <c r="D40" s="1293" t="s">
        <v>158</v>
      </c>
      <c r="E40" s="1287" t="s">
        <v>452</v>
      </c>
      <c r="F40" s="1287" t="s">
        <v>453</v>
      </c>
      <c r="G40" s="1287" t="s">
        <v>454</v>
      </c>
      <c r="H40" s="1287"/>
      <c r="I40" s="1287" t="s">
        <v>507</v>
      </c>
      <c r="J40" s="1287" t="s">
        <v>457</v>
      </c>
      <c r="K40" s="1287" t="s">
        <v>508</v>
      </c>
      <c r="L40" s="1287" t="s">
        <v>437</v>
      </c>
      <c r="Q40" s="312"/>
      <c r="R40" s="312"/>
      <c r="S40" s="2514"/>
      <c r="T40" s="2466"/>
      <c r="U40" s="239"/>
      <c r="V40" s="2371"/>
      <c r="W40" s="2590"/>
      <c r="X40" s="1897" t="s">
        <v>555</v>
      </c>
      <c r="Y40" s="1897" t="s">
        <v>556</v>
      </c>
      <c r="Z40" s="2590"/>
      <c r="AA40" s="1897" t="s">
        <v>557</v>
      </c>
      <c r="AB40" s="1897" t="s">
        <v>558</v>
      </c>
      <c r="AC40" s="1412" t="s">
        <v>461</v>
      </c>
      <c r="AD40" s="2474" t="s">
        <v>462</v>
      </c>
      <c r="AE40" s="2476"/>
      <c r="AF40" s="2520"/>
      <c r="AG40" s="2371"/>
      <c r="AH40" s="2590"/>
      <c r="AI40" s="1897" t="s">
        <v>555</v>
      </c>
      <c r="AJ40" s="1897" t="s">
        <v>556</v>
      </c>
      <c r="AK40" s="2590"/>
      <c r="AL40" s="1897" t="s">
        <v>557</v>
      </c>
      <c r="AM40" s="1897" t="s">
        <v>558</v>
      </c>
      <c r="AN40" s="1412" t="s">
        <v>461</v>
      </c>
      <c r="AO40" s="2474" t="s">
        <v>462</v>
      </c>
      <c r="AP40" s="2476"/>
      <c r="AQ40" s="2520"/>
      <c r="AR40" s="2523"/>
      <c r="AS40" s="2371"/>
      <c r="AY40" s="1078">
        <v>59</v>
      </c>
    </row>
    <row r="41" spans="1:51" s="1564" customFormat="1" ht="11.25" hidden="1" customHeight="1">
      <c r="A41" s="1293"/>
      <c r="B41" s="1293"/>
      <c r="C41" s="1293"/>
      <c r="D41" s="1293"/>
      <c r="E41" s="1293"/>
      <c r="F41" s="1293"/>
      <c r="G41" s="1293"/>
      <c r="H41" s="1293"/>
      <c r="I41" s="1293"/>
      <c r="J41" s="1293"/>
      <c r="K41" s="1293"/>
      <c r="L41" s="1287"/>
      <c r="M41" s="1285"/>
      <c r="N41" s="1285"/>
      <c r="O41" s="1285"/>
      <c r="P41" s="1169"/>
      <c r="Q41" s="1170"/>
      <c r="R41" s="1177">
        <v>1</v>
      </c>
      <c r="S41" s="1200" t="s">
        <v>100</v>
      </c>
      <c r="T41" s="1178" t="s">
        <v>103</v>
      </c>
      <c r="U41" s="1168" t="str">
        <f ca="1">OFFSET(U41,0,-1)</f>
        <v>2</v>
      </c>
      <c r="V41" s="1405">
        <f ca="1">OFFSET(V41,0,-1)+1</f>
        <v>3</v>
      </c>
      <c r="W41" s="1893"/>
      <c r="X41" s="1893"/>
      <c r="Y41" s="1893"/>
      <c r="Z41" s="1893"/>
      <c r="AA41" s="1893"/>
      <c r="AB41" s="1405">
        <f ca="1">OFFSET(AB41,0,-1)+1</f>
        <v>1</v>
      </c>
      <c r="AC41" s="1405">
        <f ca="1">OFFSET(AC41,0,-1)+1</f>
        <v>2</v>
      </c>
      <c r="AD41" s="2513">
        <f ca="1">OFFSET(AD41,0,-1)+1</f>
        <v>3</v>
      </c>
      <c r="AE41" s="2513"/>
      <c r="AF41" s="1405">
        <f ca="1">OFFSET(AF41,0,-2)+1</f>
        <v>4</v>
      </c>
      <c r="AG41" s="1405">
        <f ca="1">OFFSET(AG41,0,-1)+1</f>
        <v>5</v>
      </c>
      <c r="AH41" s="1893"/>
      <c r="AI41" s="1893"/>
      <c r="AJ41" s="1893"/>
      <c r="AK41" s="1893"/>
      <c r="AL41" s="1893"/>
      <c r="AM41" s="1405">
        <f ca="1">OFFSET(AM41,0,-1)+1</f>
        <v>1</v>
      </c>
      <c r="AN41" s="1405">
        <f ca="1">OFFSET(AN41,0,-1)+1</f>
        <v>2</v>
      </c>
      <c r="AO41" s="2513">
        <f ca="1">OFFSET(AO41,0,-1)+1</f>
        <v>3</v>
      </c>
      <c r="AP41" s="2513"/>
      <c r="AQ41" s="1405">
        <f ca="1">OFFSET(AQ41,0,-2)+1</f>
        <v>4</v>
      </c>
      <c r="AR41" s="1168">
        <f ca="1">OFFSET(AR41,0,-1)</f>
        <v>4</v>
      </c>
      <c r="AS41" s="1405">
        <f ca="1">OFFSET(AS41,0,-1)+1</f>
        <v>5</v>
      </c>
      <c r="AT41" s="447"/>
      <c r="AU41" s="447"/>
      <c r="AV41" s="447"/>
      <c r="AW41" s="447"/>
      <c r="AX41" s="447"/>
      <c r="AY41" s="432">
        <v>0</v>
      </c>
    </row>
    <row r="42" spans="1:51" ht="24" customHeight="1">
      <c r="A42" s="1286" t="s">
        <v>275</v>
      </c>
      <c r="B42" s="1286"/>
      <c r="C42" s="1286"/>
      <c r="D42" s="1286"/>
      <c r="E42" s="2506">
        <v>1</v>
      </c>
      <c r="F42" s="1286"/>
      <c r="G42" s="1286"/>
      <c r="H42" s="1286"/>
      <c r="I42" s="1286"/>
      <c r="J42" s="1286"/>
      <c r="K42" s="1286"/>
      <c r="L42" s="1287"/>
      <c r="M42" s="1288"/>
      <c r="N42" s="1288"/>
      <c r="O42" s="1288"/>
      <c r="P42" s="297"/>
      <c r="Q42" s="296"/>
      <c r="R42" s="291"/>
      <c r="S42" s="1416">
        <f>INDEX(PT_DIFFERENTIATION_NUM_NTAR,MATCH(A42,PT_DIFFERENTIATION_NTAR_ID,0))</f>
        <v>0</v>
      </c>
      <c r="T42" s="235" t="s">
        <v>144</v>
      </c>
      <c r="U42" s="237"/>
      <c r="V42" s="2492"/>
      <c r="W42" s="2493"/>
      <c r="X42" s="2493"/>
      <c r="Y42" s="2493"/>
      <c r="Z42" s="2493"/>
      <c r="AA42" s="2493"/>
      <c r="AB42" s="2493"/>
      <c r="AC42" s="2493"/>
      <c r="AD42" s="2493"/>
      <c r="AE42" s="2493"/>
      <c r="AF42" s="2494"/>
      <c r="AG42" s="2492" t="str">
        <f>INDEX(PT_DIFFERENTIATION_NTAR,MATCH(A42,PT_DIFFERENTIATION_NTAR_ID,0))</f>
        <v/>
      </c>
      <c r="AH42" s="2493"/>
      <c r="AI42" s="2493"/>
      <c r="AJ42" s="2493"/>
      <c r="AK42" s="2493"/>
      <c r="AL42" s="2493"/>
      <c r="AM42" s="2493"/>
      <c r="AN42" s="2493"/>
      <c r="AO42" s="2493"/>
      <c r="AP42" s="2493"/>
      <c r="AQ42" s="2493"/>
      <c r="AR42" s="2494"/>
      <c r="AS4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78">
        <v>23</v>
      </c>
    </row>
    <row r="43" spans="1:51" ht="24" customHeight="1">
      <c r="A43" s="1286" t="s">
        <v>275</v>
      </c>
      <c r="B43" s="1286" t="s">
        <v>276</v>
      </c>
      <c r="C43" s="1286"/>
      <c r="D43" s="1286"/>
      <c r="E43" s="2507"/>
      <c r="F43" s="2506">
        <v>1</v>
      </c>
      <c r="G43" s="1286"/>
      <c r="H43" s="1286"/>
      <c r="I43" s="1286"/>
      <c r="J43" s="1286"/>
      <c r="K43" s="1286"/>
      <c r="L43" s="1287"/>
      <c r="M43" s="1288"/>
      <c r="N43" s="1288"/>
      <c r="O43" s="1288"/>
      <c r="P43" s="1410"/>
      <c r="Q43" s="288"/>
      <c r="R43" s="289"/>
      <c r="S43" s="1416" t="str">
        <f>INDEX(PT_DIFFERENTIATION_NUM_TER,MATCH(B43,PT_DIFFERENTIATION_TER_ID,0))</f>
        <v>.</v>
      </c>
      <c r="T43" s="245" t="s">
        <v>416</v>
      </c>
      <c r="U43" s="237"/>
      <c r="V43" s="2492"/>
      <c r="W43" s="2493"/>
      <c r="X43" s="2493"/>
      <c r="Y43" s="2493"/>
      <c r="Z43" s="2493"/>
      <c r="AA43" s="2493"/>
      <c r="AB43" s="2493"/>
      <c r="AC43" s="2493"/>
      <c r="AD43" s="2493"/>
      <c r="AE43" s="2493"/>
      <c r="AF43" s="2494"/>
      <c r="AG43" s="2492" t="str">
        <f>INDEX(PT_DIFFERENTIATION_TER,MATCH(B43,PT_DIFFERENTIATION_TER_ID,0))</f>
        <v/>
      </c>
      <c r="AH43" s="2493"/>
      <c r="AI43" s="2493"/>
      <c r="AJ43" s="2493"/>
      <c r="AK43" s="2493"/>
      <c r="AL43" s="2493"/>
      <c r="AM43" s="2493"/>
      <c r="AN43" s="2493"/>
      <c r="AO43" s="2493"/>
      <c r="AP43" s="2493"/>
      <c r="AQ43" s="2493"/>
      <c r="AR43" s="2494"/>
      <c r="AS43" s="1181" t="s">
        <v>417</v>
      </c>
      <c r="AU43" s="436"/>
      <c r="AV43" s="436" t="str">
        <f t="shared" si="1"/>
        <v>Территория действия тарифа</v>
      </c>
      <c r="AW43" s="436"/>
      <c r="AX43" s="436"/>
      <c r="AY43" s="1078">
        <v>23</v>
      </c>
    </row>
    <row r="44" spans="1:51" ht="24" customHeight="1">
      <c r="A44" s="1286" t="s">
        <v>275</v>
      </c>
      <c r="B44" s="1286" t="s">
        <v>276</v>
      </c>
      <c r="C44" s="1286" t="s">
        <v>277</v>
      </c>
      <c r="D44" s="1286"/>
      <c r="E44" s="2507"/>
      <c r="F44" s="2507"/>
      <c r="G44" s="2506">
        <v>1</v>
      </c>
      <c r="H44" s="1286"/>
      <c r="I44" s="1286"/>
      <c r="J44" s="1286"/>
      <c r="K44" s="1286"/>
      <c r="L44" s="1287"/>
      <c r="M44" s="1288"/>
      <c r="N44" s="1288"/>
      <c r="O44" s="1288"/>
      <c r="P44" s="290"/>
      <c r="Q44" s="288"/>
      <c r="R44" s="289"/>
      <c r="S44" s="1416" t="str">
        <f>INDEX(PT_DIFFERENTIATION_NUM_CS,MATCH(C44,PT_DIFFERENTIATION_CS_ID,0))</f>
        <v>..</v>
      </c>
      <c r="T44" s="246" t="s">
        <v>547</v>
      </c>
      <c r="U44" s="237"/>
      <c r="V44" s="2492"/>
      <c r="W44" s="2493"/>
      <c r="X44" s="2493"/>
      <c r="Y44" s="2493"/>
      <c r="Z44" s="2493"/>
      <c r="AA44" s="2493"/>
      <c r="AB44" s="2493"/>
      <c r="AC44" s="2493"/>
      <c r="AD44" s="2493"/>
      <c r="AE44" s="2493"/>
      <c r="AF44" s="2494"/>
      <c r="AG44" s="2492" t="str">
        <f>INDEX(PT_DIFFERENTIATION_CS,MATCH(C44,PT_DIFFERENTIATION_CS_ID,0))</f>
        <v/>
      </c>
      <c r="AH44" s="2493"/>
      <c r="AI44" s="2493"/>
      <c r="AJ44" s="2493"/>
      <c r="AK44" s="2493"/>
      <c r="AL44" s="2493"/>
      <c r="AM44" s="2493"/>
      <c r="AN44" s="2493"/>
      <c r="AO44" s="2493"/>
      <c r="AP44" s="2493"/>
      <c r="AQ44" s="2493"/>
      <c r="AR44" s="2494"/>
      <c r="AS44" s="1181" t="s">
        <v>548</v>
      </c>
      <c r="AU44" s="436"/>
      <c r="AV44" s="436" t="str">
        <f t="shared" si="1"/>
        <v>Наименование централизованной системы горячего водоснабжения</v>
      </c>
      <c r="AW44" s="436"/>
      <c r="AX44" s="436"/>
      <c r="AY44" s="1078">
        <v>23</v>
      </c>
    </row>
    <row r="45" spans="1:51" ht="24" customHeight="1">
      <c r="A45" s="1286" t="s">
        <v>275</v>
      </c>
      <c r="B45" s="1286" t="s">
        <v>276</v>
      </c>
      <c r="C45" s="1286" t="s">
        <v>277</v>
      </c>
      <c r="D45" s="1286" t="s">
        <v>560</v>
      </c>
      <c r="E45" s="2507"/>
      <c r="F45" s="2507"/>
      <c r="G45" s="2507"/>
      <c r="H45" s="2507"/>
      <c r="I45" s="2504" t="str">
        <f>S44&amp;".1"</f>
        <v>...1</v>
      </c>
      <c r="J45" s="1286"/>
      <c r="K45" s="1286"/>
      <c r="L45" s="1287"/>
      <c r="P45" s="2505">
        <v>1</v>
      </c>
      <c r="Q45" s="1404"/>
      <c r="R45" s="292"/>
      <c r="S45" s="1416" t="str">
        <f>$I45</f>
        <v>...1</v>
      </c>
      <c r="T45" s="222" t="s">
        <v>500</v>
      </c>
      <c r="U45" s="237"/>
      <c r="V45" s="2576"/>
      <c r="W45" s="2577"/>
      <c r="X45" s="2577"/>
      <c r="Y45" s="2577"/>
      <c r="Z45" s="2577"/>
      <c r="AA45" s="2577"/>
      <c r="AB45" s="2577"/>
      <c r="AC45" s="2577"/>
      <c r="AD45" s="2577"/>
      <c r="AE45" s="2577"/>
      <c r="AF45" s="2578"/>
      <c r="AG45" s="2579"/>
      <c r="AH45" s="2580"/>
      <c r="AI45" s="2580"/>
      <c r="AJ45" s="2580"/>
      <c r="AK45" s="2580"/>
      <c r="AL45" s="2580"/>
      <c r="AM45" s="2580"/>
      <c r="AN45" s="2580"/>
      <c r="AO45" s="2580"/>
      <c r="AP45" s="2580"/>
      <c r="AQ45" s="2580"/>
      <c r="AR45" s="2581"/>
      <c r="AS45" s="1181" t="s">
        <v>501</v>
      </c>
      <c r="AU45" s="436"/>
      <c r="AV45" s="436" t="str">
        <f t="shared" si="1"/>
        <v>Наименование признака дифференциации</v>
      </c>
      <c r="AW45" s="436"/>
      <c r="AX45" s="436"/>
      <c r="AY45" s="1078">
        <v>23</v>
      </c>
    </row>
    <row r="46" spans="1:51" ht="24" customHeight="1">
      <c r="A46" s="1286" t="s">
        <v>275</v>
      </c>
      <c r="B46" s="1286" t="s">
        <v>276</v>
      </c>
      <c r="C46" s="1286" t="s">
        <v>277</v>
      </c>
      <c r="D46" s="1286" t="s">
        <v>560</v>
      </c>
      <c r="E46" s="2507"/>
      <c r="F46" s="2507"/>
      <c r="G46" s="2507"/>
      <c r="H46" s="2507"/>
      <c r="I46" s="2527"/>
      <c r="J46" s="2504" t="str">
        <f>I45&amp;".1"</f>
        <v>...1.1</v>
      </c>
      <c r="K46" s="1286"/>
      <c r="L46" s="1287" t="s">
        <v>425</v>
      </c>
      <c r="P46" s="2505"/>
      <c r="Q46" s="2505">
        <v>1</v>
      </c>
      <c r="R46" s="293"/>
      <c r="S46" s="1416" t="str">
        <f>$J46</f>
        <v>...1.1</v>
      </c>
      <c r="T46" s="223" t="s">
        <v>426</v>
      </c>
      <c r="U46" s="237"/>
      <c r="V46" s="2495"/>
      <c r="W46" s="2496"/>
      <c r="X46" s="2496"/>
      <c r="Y46" s="2496"/>
      <c r="Z46" s="2496"/>
      <c r="AA46" s="2496"/>
      <c r="AB46" s="2496"/>
      <c r="AC46" s="2496"/>
      <c r="AD46" s="2496"/>
      <c r="AE46" s="2496"/>
      <c r="AF46" s="2497"/>
      <c r="AG46" s="2495"/>
      <c r="AH46" s="2496"/>
      <c r="AI46" s="2496"/>
      <c r="AJ46" s="2496"/>
      <c r="AK46" s="2496"/>
      <c r="AL46" s="2496"/>
      <c r="AM46" s="2496"/>
      <c r="AN46" s="2496"/>
      <c r="AO46" s="2496"/>
      <c r="AP46" s="2496"/>
      <c r="AQ46" s="2496"/>
      <c r="AR46" s="2497"/>
      <c r="AS46" s="1230" t="s">
        <v>502</v>
      </c>
      <c r="AU46" s="436"/>
      <c r="AV46" s="436" t="str">
        <f t="shared" si="1"/>
        <v>Группа потребителей</v>
      </c>
      <c r="AW46" s="436"/>
      <c r="AX46" s="436"/>
      <c r="AY46" s="1078">
        <v>23</v>
      </c>
    </row>
    <row r="47" spans="1:51" ht="24" customHeight="1">
      <c r="A47" s="1286" t="s">
        <v>275</v>
      </c>
      <c r="B47" s="1286" t="s">
        <v>276</v>
      </c>
      <c r="C47" s="1286" t="s">
        <v>277</v>
      </c>
      <c r="D47" s="1286" t="s">
        <v>560</v>
      </c>
      <c r="E47" s="2507"/>
      <c r="F47" s="2507"/>
      <c r="G47" s="2507"/>
      <c r="H47" s="2507"/>
      <c r="I47" s="2527"/>
      <c r="J47" s="2527"/>
      <c r="K47" s="2504" t="str">
        <f>J46&amp;".1"</f>
        <v>...1.1.1</v>
      </c>
      <c r="L47" s="1287"/>
      <c r="P47" s="2505"/>
      <c r="Q47" s="2505"/>
      <c r="R47" s="293">
        <v>1</v>
      </c>
      <c r="S47" s="1416" t="str">
        <f>$K47</f>
        <v>...1.1.1</v>
      </c>
      <c r="T47" s="1360"/>
      <c r="U47" s="237"/>
      <c r="V47" s="1283"/>
      <c r="W47" s="1283"/>
      <c r="X47" s="1283"/>
      <c r="Y47" s="1283"/>
      <c r="Z47" s="1283"/>
      <c r="AA47" s="1283"/>
      <c r="AB47" s="1284"/>
      <c r="AC47" s="2511"/>
      <c r="AD47" s="2512" t="s">
        <v>63</v>
      </c>
      <c r="AE47" s="2511"/>
      <c r="AF47" s="2512" t="s">
        <v>63</v>
      </c>
      <c r="AG47" s="686"/>
      <c r="AH47" s="686"/>
      <c r="AI47" s="686"/>
      <c r="AJ47" s="686"/>
      <c r="AK47" s="686"/>
      <c r="AL47" s="686"/>
      <c r="AM47" s="1180"/>
      <c r="AN47" s="2509"/>
      <c r="AO47" s="2360" t="s">
        <v>63</v>
      </c>
      <c r="AP47" s="2528"/>
      <c r="AQ47" s="2360" t="s">
        <v>19</v>
      </c>
      <c r="AR47" s="1361"/>
      <c r="AS47" s="257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78">
        <v>23</v>
      </c>
    </row>
    <row r="48" spans="1:51" ht="0" hidden="1" customHeight="1">
      <c r="A48" s="1286" t="s">
        <v>275</v>
      </c>
      <c r="B48" s="1286" t="s">
        <v>276</v>
      </c>
      <c r="C48" s="1286" t="s">
        <v>277</v>
      </c>
      <c r="D48" s="1286" t="s">
        <v>560</v>
      </c>
      <c r="E48" s="2507"/>
      <c r="F48" s="2507"/>
      <c r="G48" s="2507"/>
      <c r="H48" s="2507"/>
      <c r="I48" s="2527"/>
      <c r="J48" s="2527"/>
      <c r="K48" s="2504"/>
      <c r="L48" s="1287"/>
      <c r="P48" s="2505"/>
      <c r="Q48" s="2505"/>
      <c r="R48" s="293"/>
      <c r="S48" s="1413"/>
      <c r="T48" s="237"/>
      <c r="U48" s="237"/>
      <c r="V48" s="1283"/>
      <c r="W48" s="1283"/>
      <c r="X48" s="1283"/>
      <c r="Y48" s="1283"/>
      <c r="Z48" s="1283"/>
      <c r="AA48" s="1283"/>
      <c r="AB48" s="265" t="str">
        <f>AC47&amp;"-"&amp;AE47</f>
        <v>-</v>
      </c>
      <c r="AC48" s="2512"/>
      <c r="AD48" s="2512"/>
      <c r="AE48" s="2512"/>
      <c r="AF48" s="2512"/>
      <c r="AG48" s="262"/>
      <c r="AH48" s="262"/>
      <c r="AI48" s="262"/>
      <c r="AJ48" s="262"/>
      <c r="AK48" s="262"/>
      <c r="AL48" s="262"/>
      <c r="AM48" s="265" t="str">
        <f>AN47&amp;"-"&amp;AP47</f>
        <v>-</v>
      </c>
      <c r="AN48" s="2510"/>
      <c r="AO48" s="2360"/>
      <c r="AP48" s="2529"/>
      <c r="AQ48" s="2360"/>
      <c r="AR48" s="1362"/>
      <c r="AS48" s="2575"/>
      <c r="AU48" s="436"/>
      <c r="AV48" s="436" t="str">
        <f t="shared" si="1"/>
        <v/>
      </c>
      <c r="AW48" s="436"/>
      <c r="AX48" s="436"/>
      <c r="AY48" s="1078">
        <v>0</v>
      </c>
    </row>
    <row r="49" spans="1:51" ht="21" customHeight="1">
      <c r="A49" s="1286" t="s">
        <v>275</v>
      </c>
      <c r="B49" s="1286" t="s">
        <v>276</v>
      </c>
      <c r="C49" s="1286" t="s">
        <v>277</v>
      </c>
      <c r="D49" s="1286" t="s">
        <v>560</v>
      </c>
      <c r="E49" s="2507"/>
      <c r="F49" s="2507"/>
      <c r="G49" s="2507"/>
      <c r="H49" s="2507"/>
      <c r="I49" s="2527"/>
      <c r="J49" s="2504"/>
      <c r="K49" s="1286"/>
      <c r="L49" s="1287"/>
      <c r="P49" s="2505"/>
      <c r="Q49" s="2505"/>
      <c r="R49" s="292"/>
      <c r="S49" s="1201"/>
      <c r="T49" s="224" t="s">
        <v>503</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81" t="s">
        <v>504</v>
      </c>
      <c r="AU49" s="436"/>
      <c r="AV49" s="436" t="str">
        <f t="shared" si="1"/>
        <v>Добавить значение признака дифференциации</v>
      </c>
      <c r="AW49" s="436"/>
      <c r="AX49" s="436"/>
      <c r="AY49" s="1078">
        <v>20</v>
      </c>
    </row>
    <row r="50" spans="1:51" ht="21.95" customHeight="1">
      <c r="A50" s="1286" t="s">
        <v>275</v>
      </c>
      <c r="B50" s="1286" t="s">
        <v>276</v>
      </c>
      <c r="C50" s="1286" t="s">
        <v>277</v>
      </c>
      <c r="D50" s="1286" t="s">
        <v>560</v>
      </c>
      <c r="E50" s="2507"/>
      <c r="F50" s="2507"/>
      <c r="G50" s="2507"/>
      <c r="H50" s="2507"/>
      <c r="I50" s="2504"/>
      <c r="J50" s="1286"/>
      <c r="K50" s="1286"/>
      <c r="L50" s="1287"/>
      <c r="P50" s="2505"/>
      <c r="Q50" s="1404"/>
      <c r="R50" s="292"/>
      <c r="S50" s="1201"/>
      <c r="T50" s="301" t="s">
        <v>431</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63"/>
      <c r="AU50" s="436"/>
      <c r="AV50" s="436" t="str">
        <f t="shared" si="1"/>
        <v>Добавить группу потребителей</v>
      </c>
      <c r="AW50" s="436"/>
      <c r="AX50" s="436"/>
      <c r="AY50" s="1078">
        <v>21</v>
      </c>
    </row>
    <row r="51" spans="1:51" ht="21.95" customHeight="1">
      <c r="A51" s="1286" t="s">
        <v>275</v>
      </c>
      <c r="B51" s="1286" t="s">
        <v>276</v>
      </c>
      <c r="C51" s="1286" t="s">
        <v>277</v>
      </c>
      <c r="D51" s="1286" t="s">
        <v>560</v>
      </c>
      <c r="E51" s="2507"/>
      <c r="F51" s="2507"/>
      <c r="G51" s="2507"/>
      <c r="H51" s="2506"/>
      <c r="I51" s="1286"/>
      <c r="J51" s="1286"/>
      <c r="K51" s="1286"/>
      <c r="L51" s="1287"/>
      <c r="M51" s="1288"/>
      <c r="N51" s="1288"/>
      <c r="O51" s="473"/>
      <c r="P51" s="296"/>
      <c r="Q51" s="311"/>
      <c r="R51" s="291"/>
      <c r="S51" s="1201"/>
      <c r="T51" s="308" t="s">
        <v>505</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78">
        <v>21</v>
      </c>
    </row>
    <row r="52" spans="1:51" s="1565" customFormat="1" ht="0" hidden="1" customHeight="1">
      <c r="A52" s="1266" t="s">
        <v>275</v>
      </c>
      <c r="B52" s="1266" t="s">
        <v>276</v>
      </c>
      <c r="C52" s="1237"/>
      <c r="D52" s="1237"/>
      <c r="E52" s="2507"/>
      <c r="F52" s="2506"/>
      <c r="G52" s="1237"/>
      <c r="H52" s="1237"/>
      <c r="I52" s="1237"/>
      <c r="J52" s="1237"/>
      <c r="K52" s="1237"/>
      <c r="L52" s="1417"/>
      <c r="M52" s="1244"/>
      <c r="N52" s="1244"/>
      <c r="P52" s="1239"/>
      <c r="Q52" s="1240"/>
      <c r="R52" s="1239"/>
      <c r="S52" s="1245"/>
      <c r="T52" s="1248" t="s">
        <v>434</v>
      </c>
      <c r="U52" s="1247"/>
      <c r="V52" s="1247"/>
      <c r="W52" s="1247"/>
      <c r="X52" s="1247"/>
      <c r="Y52" s="1247"/>
      <c r="Z52" s="1247"/>
      <c r="AA52" s="1247"/>
      <c r="AB52" s="1247"/>
      <c r="AC52" s="1247"/>
      <c r="AD52" s="1247"/>
      <c r="AE52" s="1247"/>
      <c r="AF52" s="1247"/>
      <c r="AG52" s="1247"/>
      <c r="AH52" s="1247"/>
      <c r="AI52" s="1247"/>
      <c r="AJ52" s="1247"/>
      <c r="AK52" s="1247"/>
      <c r="AL52" s="1247"/>
      <c r="AM52" s="1247"/>
      <c r="AN52" s="1247"/>
      <c r="AO52" s="1247"/>
      <c r="AP52" s="1247"/>
      <c r="AQ52" s="1247"/>
      <c r="AR52" s="1247"/>
      <c r="AS52" s="1247"/>
      <c r="AU52" s="718"/>
      <c r="AV52" s="718" t="str">
        <f t="shared" si="1"/>
        <v>Добавить централизованную систему для дифференциации</v>
      </c>
      <c r="AW52" s="718"/>
      <c r="AX52" s="718"/>
      <c r="AY52" s="454">
        <v>0</v>
      </c>
    </row>
    <row r="53" spans="1:51" s="1565" customFormat="1" ht="0" hidden="1" customHeight="1">
      <c r="A53" s="1266" t="s">
        <v>275</v>
      </c>
      <c r="B53" s="1266"/>
      <c r="C53" s="1266"/>
      <c r="D53" s="1266"/>
      <c r="E53" s="2506"/>
      <c r="F53" s="1266"/>
      <c r="G53" s="1266"/>
      <c r="H53" s="1266"/>
      <c r="I53" s="1266"/>
      <c r="J53" s="1266"/>
      <c r="K53" s="1266"/>
      <c r="L53" s="1269"/>
      <c r="M53" s="1244"/>
      <c r="N53" s="1244"/>
      <c r="O53" s="454"/>
      <c r="P53" s="316"/>
      <c r="Q53" s="1267"/>
      <c r="R53" s="316"/>
      <c r="S53" s="1245"/>
      <c r="T53" s="1248" t="s">
        <v>435</v>
      </c>
      <c r="U53" s="1247"/>
      <c r="V53" s="1247"/>
      <c r="W53" s="1247"/>
      <c r="X53" s="1247"/>
      <c r="Y53" s="1247"/>
      <c r="Z53" s="1247"/>
      <c r="AA53" s="1247"/>
      <c r="AB53" s="1247"/>
      <c r="AC53" s="1247"/>
      <c r="AD53" s="1247"/>
      <c r="AE53" s="1247"/>
      <c r="AF53" s="1247"/>
      <c r="AG53" s="1247"/>
      <c r="AH53" s="1247"/>
      <c r="AI53" s="1247"/>
      <c r="AJ53" s="1247"/>
      <c r="AK53" s="1247"/>
      <c r="AL53" s="1247"/>
      <c r="AM53" s="1247"/>
      <c r="AN53" s="1247"/>
      <c r="AO53" s="1247"/>
      <c r="AP53" s="1247"/>
      <c r="AQ53" s="1247"/>
      <c r="AR53" s="1247"/>
      <c r="AS53" s="1247"/>
      <c r="AU53" s="436"/>
      <c r="AV53" s="436" t="str">
        <f t="shared" si="1"/>
        <v>Добавить территорию для дифференциации</v>
      </c>
      <c r="AW53" s="436"/>
      <c r="AX53" s="436"/>
      <c r="AY53" s="447">
        <v>0</v>
      </c>
    </row>
    <row r="54" spans="1:51" s="1565" customFormat="1" ht="0" hidden="1" customHeight="1">
      <c r="A54" s="1237"/>
      <c r="B54" s="1237"/>
      <c r="C54" s="1237"/>
      <c r="D54" s="1237"/>
      <c r="E54" s="1266"/>
      <c r="F54" s="1237"/>
      <c r="G54" s="1237"/>
      <c r="H54" s="1237"/>
      <c r="I54" s="1237"/>
      <c r="J54" s="1237"/>
      <c r="K54" s="1237"/>
      <c r="L54" s="1417"/>
      <c r="M54" s="1244"/>
      <c r="N54" s="1244"/>
      <c r="P54" s="1239"/>
      <c r="Q54" s="1240"/>
      <c r="R54" s="1239"/>
      <c r="S54" s="1245"/>
      <c r="T54" s="1248" t="s">
        <v>463</v>
      </c>
      <c r="U54" s="1247"/>
      <c r="V54" s="1247"/>
      <c r="W54" s="1247"/>
      <c r="X54" s="1247"/>
      <c r="Y54" s="1247"/>
      <c r="Z54" s="1247"/>
      <c r="AA54" s="1247"/>
      <c r="AB54" s="1247"/>
      <c r="AC54" s="1247"/>
      <c r="AD54" s="1247"/>
      <c r="AE54" s="1247"/>
      <c r="AF54" s="1247"/>
      <c r="AG54" s="1247"/>
      <c r="AH54" s="1247"/>
      <c r="AI54" s="1247"/>
      <c r="AJ54" s="1247"/>
      <c r="AK54" s="1247"/>
      <c r="AL54" s="1247"/>
      <c r="AM54" s="1247"/>
      <c r="AN54" s="1247"/>
      <c r="AO54" s="1247"/>
      <c r="AP54" s="1247"/>
      <c r="AQ54" s="1247"/>
      <c r="AR54" s="1247"/>
      <c r="AS54" s="1247"/>
      <c r="AU54" s="718"/>
      <c r="AV54" s="718" t="str">
        <f t="shared" si="1"/>
        <v>Добавить наименование тарифа</v>
      </c>
      <c r="AW54" s="718"/>
      <c r="AX54" s="718"/>
      <c r="AY54" s="454">
        <v>0</v>
      </c>
    </row>
    <row r="55" spans="1:51" ht="11.45" customHeight="1">
      <c r="M55" s="1083"/>
      <c r="N55" s="1083"/>
      <c r="O55" s="473"/>
      <c r="P55" s="1078"/>
      <c r="Q55" s="1078"/>
      <c r="R55" s="1078"/>
      <c r="S55" s="1078"/>
      <c r="AT55" s="1078"/>
      <c r="AU55" s="1078"/>
      <c r="AV55" s="1078"/>
      <c r="AW55" s="1078"/>
      <c r="AX55" s="1078"/>
      <c r="AY55" s="1078">
        <v>11</v>
      </c>
    </row>
    <row r="56" spans="1:51" ht="14.65" customHeight="1">
      <c r="O56" s="473"/>
      <c r="S56" s="1176"/>
      <c r="T56" s="2526"/>
      <c r="U56" s="2526"/>
      <c r="V56" s="2526"/>
      <c r="W56" s="2526"/>
      <c r="X56" s="2526"/>
      <c r="Y56" s="2526"/>
      <c r="Z56" s="2526"/>
      <c r="AA56" s="2526"/>
      <c r="AB56" s="2526"/>
      <c r="AC56" s="2526"/>
      <c r="AD56" s="2526"/>
      <c r="AE56" s="2526"/>
      <c r="AF56" s="2526"/>
      <c r="AG56" s="2526"/>
      <c r="AH56" s="2526"/>
      <c r="AI56" s="2526"/>
      <c r="AJ56" s="2526"/>
      <c r="AK56" s="2526"/>
      <c r="AL56" s="2526"/>
      <c r="AM56" s="2526"/>
      <c r="AN56" s="2526"/>
      <c r="AO56" s="2526"/>
      <c r="AP56" s="2526"/>
      <c r="AQ56" s="2526"/>
      <c r="AR56" s="2526"/>
      <c r="AS56" s="2526"/>
      <c r="AY56" s="1078">
        <v>14</v>
      </c>
    </row>
    <row r="57" spans="1:51" ht="14.65" customHeight="1">
      <c r="O57" s="473"/>
      <c r="AY57" s="1078">
        <v>14</v>
      </c>
    </row>
    <row r="58" spans="1:51" ht="14.65" customHeight="1">
      <c r="O58" s="473"/>
      <c r="S58" s="1176"/>
      <c r="T58" s="2526"/>
      <c r="U58" s="2526"/>
      <c r="V58" s="2526"/>
      <c r="W58" s="2526"/>
      <c r="X58" s="2526"/>
      <c r="Y58" s="2526"/>
      <c r="Z58" s="2526"/>
      <c r="AA58" s="2526"/>
      <c r="AB58" s="2526"/>
      <c r="AC58" s="2526"/>
      <c r="AD58" s="2526"/>
      <c r="AE58" s="2526"/>
      <c r="AF58" s="2526"/>
      <c r="AG58" s="2526"/>
      <c r="AH58" s="2526"/>
      <c r="AI58" s="2526"/>
      <c r="AJ58" s="2526"/>
      <c r="AK58" s="2526"/>
      <c r="AL58" s="2526"/>
      <c r="AM58" s="2526"/>
      <c r="AN58" s="2526"/>
      <c r="AO58" s="2526"/>
      <c r="AP58" s="2526"/>
      <c r="AQ58" s="2526"/>
      <c r="AR58" s="2526"/>
      <c r="AS58" s="2526"/>
      <c r="AY58" s="1078">
        <v>14</v>
      </c>
    </row>
    <row r="59" spans="1:51" ht="22.5" hidden="1" customHeight="1">
      <c r="A59" s="1083" t="s">
        <v>83</v>
      </c>
      <c r="B59" s="1083">
        <v>0</v>
      </c>
      <c r="C59" s="1083">
        <v>0</v>
      </c>
      <c r="D59" s="1083">
        <v>0</v>
      </c>
      <c r="E59" s="1083">
        <v>0</v>
      </c>
      <c r="F59" s="1083">
        <v>0</v>
      </c>
      <c r="G59" s="1083">
        <v>0</v>
      </c>
      <c r="H59" s="1083">
        <v>0</v>
      </c>
      <c r="I59" s="1083">
        <v>0</v>
      </c>
      <c r="J59" s="1083">
        <v>0</v>
      </c>
      <c r="K59" s="1083">
        <v>0</v>
      </c>
      <c r="L59" s="1401">
        <v>0</v>
      </c>
      <c r="M59" s="1285">
        <v>0</v>
      </c>
      <c r="N59" s="1285">
        <v>0</v>
      </c>
      <c r="O59" s="1285">
        <v>0</v>
      </c>
      <c r="P59" s="1396">
        <v>3</v>
      </c>
      <c r="Q59" s="281">
        <v>3</v>
      </c>
      <c r="R59" s="281">
        <v>3</v>
      </c>
      <c r="S59" s="517">
        <v>12</v>
      </c>
      <c r="T59" s="1078">
        <v>35</v>
      </c>
      <c r="U59" s="1078">
        <v>0</v>
      </c>
      <c r="V59" s="1078">
        <v>0</v>
      </c>
      <c r="W59" s="1554">
        <v>0</v>
      </c>
      <c r="X59" s="1554">
        <v>0</v>
      </c>
      <c r="Y59" s="1554">
        <v>0</v>
      </c>
      <c r="Z59" s="1554">
        <v>0</v>
      </c>
      <c r="AA59" s="1554">
        <v>0</v>
      </c>
      <c r="AB59" s="1078">
        <v>0</v>
      </c>
      <c r="AC59" s="1078">
        <v>0</v>
      </c>
      <c r="AD59" s="1078">
        <v>0</v>
      </c>
      <c r="AE59" s="1078">
        <v>0</v>
      </c>
      <c r="AF59" s="1078">
        <v>0</v>
      </c>
      <c r="AG59" s="1078">
        <v>19</v>
      </c>
      <c r="AH59" s="1554">
        <v>19</v>
      </c>
      <c r="AI59" s="1554">
        <v>19</v>
      </c>
      <c r="AJ59" s="1554">
        <v>19</v>
      </c>
      <c r="AK59" s="1554">
        <v>19</v>
      </c>
      <c r="AL59" s="1554">
        <v>19</v>
      </c>
      <c r="AM59" s="1078">
        <v>19</v>
      </c>
      <c r="AN59" s="1078">
        <v>11</v>
      </c>
      <c r="AO59" s="1078">
        <v>3</v>
      </c>
      <c r="AP59" s="1078">
        <v>11</v>
      </c>
      <c r="AQ59" s="1078">
        <v>0</v>
      </c>
      <c r="AR59" s="1078">
        <v>4</v>
      </c>
      <c r="AS59" s="1078">
        <v>115</v>
      </c>
      <c r="AT59" s="447">
        <v>10</v>
      </c>
      <c r="AU59" s="447">
        <v>10</v>
      </c>
      <c r="AV59" s="447">
        <v>10</v>
      </c>
      <c r="AW59" s="447">
        <v>10</v>
      </c>
      <c r="AX59" s="447">
        <v>10</v>
      </c>
      <c r="AY59" s="1078">
        <v>23</v>
      </c>
    </row>
  </sheetData>
  <sheetProtection formatColumns="0" formatRows="0" insertRows="0" deleteColumns="0" deleteRows="0" sort="0" autoFilter="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89" hidden="1" customWidth="1"/>
    <col min="2" max="2" width="11" style="1289" hidden="1" customWidth="1"/>
    <col min="3" max="3" width="10.5703125" style="1289" hidden="1"/>
    <col min="4" max="4" width="12.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2" style="1289" hidden="1" customWidth="1"/>
    <col min="10" max="10" width="9.85546875" style="1289" hidden="1" customWidth="1"/>
    <col min="11" max="11" width="11.42578125" style="1289" hidden="1" customWidth="1"/>
    <col min="12" max="12" width="19.140625" style="2043" hidden="1" customWidth="1"/>
    <col min="13" max="14" width="12.28515625" style="1696" hidden="1" customWidth="1"/>
    <col min="15" max="15" width="23.42578125" style="1696" hidden="1" customWidth="1"/>
    <col min="16" max="16" width="3.7109375" style="1696" hidden="1" customWidth="1"/>
    <col min="17" max="17" width="3.7109375" style="1294" hidden="1" customWidth="1"/>
    <col min="18" max="18" width="3" style="281" customWidth="1"/>
    <col min="19" max="19" width="12" style="2033" customWidth="1"/>
    <col min="20" max="20" width="31" style="1558" customWidth="1"/>
    <col min="21" max="21" width="0.140625" style="1558" customWidth="1"/>
    <col min="22" max="25" width="21.7109375" style="1558" hidden="1" customWidth="1"/>
    <col min="26" max="26" width="11.7109375" style="1558" hidden="1" customWidth="1"/>
    <col min="27" max="27" width="3.7109375" style="1558" hidden="1" customWidth="1"/>
    <col min="28" max="28" width="11.7109375" style="1558" hidden="1" customWidth="1"/>
    <col min="29" max="29" width="8.5703125" style="1558" hidden="1" customWidth="1"/>
    <col min="30" max="30" width="3.7109375" style="1558" customWidth="1"/>
    <col min="31" max="32" width="3" style="1558" customWidth="1"/>
    <col min="33" max="33" width="24" style="1558" customWidth="1"/>
    <col min="34" max="34" width="3.7109375" style="1558" customWidth="1"/>
    <col min="35" max="36" width="3" style="1558" customWidth="1"/>
    <col min="37" max="37" width="24" style="1558" customWidth="1"/>
    <col min="38" max="38" width="3.7109375" style="1558" customWidth="1"/>
    <col min="39" max="40" width="3" style="1558" customWidth="1"/>
    <col min="41" max="41" width="18" style="1558" customWidth="1"/>
    <col min="42" max="42" width="3.7109375" style="1558" customWidth="1"/>
    <col min="43" max="44" width="3" style="1558" customWidth="1"/>
    <col min="45" max="45" width="18" style="1558" customWidth="1"/>
    <col min="46" max="49" width="21" style="1558" customWidth="1"/>
    <col min="50" max="50" width="11" style="1558" customWidth="1"/>
    <col min="51" max="51" width="3.7109375" style="1558" customWidth="1"/>
    <col min="52" max="52" width="11" style="1558" customWidth="1"/>
    <col min="53" max="53" width="8.5703125" style="1558" hidden="1" customWidth="1"/>
    <col min="54" max="54" width="4" style="1558" customWidth="1"/>
    <col min="55" max="55" width="115" style="1558" customWidth="1"/>
    <col min="56" max="60" width="10" style="1565" customWidth="1"/>
    <col min="61" max="61" width="10.5703125" style="1558" hidden="1"/>
  </cols>
  <sheetData>
    <row r="1" spans="1:61" ht="22.5" hidden="1" customHeight="1">
      <c r="W1" s="264"/>
      <c r="Y1" s="264"/>
      <c r="Z1" s="264"/>
      <c r="AW1" s="264"/>
      <c r="AX1" s="264"/>
      <c r="BI1" s="1078" t="s">
        <v>14</v>
      </c>
    </row>
    <row r="2" spans="1:61" ht="21" hidden="1" customHeight="1">
      <c r="A2" s="1286"/>
      <c r="B2" s="1286"/>
      <c r="C2" s="1286"/>
      <c r="D2" s="1286"/>
      <c r="E2" s="2506">
        <v>1</v>
      </c>
      <c r="F2" s="1286"/>
      <c r="G2" s="1286"/>
      <c r="H2" s="1286"/>
      <c r="I2" s="1286"/>
      <c r="J2" s="1286"/>
      <c r="K2" s="1286"/>
      <c r="L2" s="1287"/>
      <c r="M2" s="1288"/>
      <c r="N2" s="1288"/>
      <c r="O2" s="1288"/>
      <c r="P2" s="1332"/>
      <c r="Q2" s="802"/>
      <c r="R2" s="291"/>
      <c r="S2" s="1416" t="e">
        <f>INDEX(PT_DIFFERENTIATION_NUM_NTAR,MATCH(A2,PT_DIFFERENTIATION_NTAR_ID,0))</f>
        <v>#N/A</v>
      </c>
      <c r="T2" s="235" t="s">
        <v>144</v>
      </c>
      <c r="U2" s="237"/>
      <c r="V2" s="2493"/>
      <c r="W2" s="2493"/>
      <c r="X2" s="2493"/>
      <c r="Y2" s="2493"/>
      <c r="Z2" s="2493"/>
      <c r="AA2" s="2493"/>
      <c r="AB2" s="2493"/>
      <c r="AC2" s="2494"/>
      <c r="AD2" s="2492" t="e">
        <f>INDEX(PT_DIFFERENTIATION_NTAR,MATCH(A2,PT_DIFFERENTIATION_NTAR_ID,0))</f>
        <v>#N/A</v>
      </c>
      <c r="AE2" s="2493"/>
      <c r="AF2" s="2493"/>
      <c r="AG2" s="2493"/>
      <c r="AH2" s="2493"/>
      <c r="AI2" s="2493"/>
      <c r="AJ2" s="2493"/>
      <c r="AK2" s="2493"/>
      <c r="AL2" s="2493"/>
      <c r="AM2" s="2493"/>
      <c r="AN2" s="2493"/>
      <c r="AO2" s="2493"/>
      <c r="AP2" s="2493"/>
      <c r="AQ2" s="2493"/>
      <c r="AR2" s="2493"/>
      <c r="AS2" s="2493"/>
      <c r="AT2" s="2493"/>
      <c r="AU2" s="2493"/>
      <c r="AV2" s="2493"/>
      <c r="AW2" s="2493"/>
      <c r="AX2" s="2493"/>
      <c r="AY2" s="2493"/>
      <c r="AZ2" s="2493"/>
      <c r="BA2" s="2493"/>
      <c r="BB2" s="2494"/>
      <c r="BC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78">
        <v>0</v>
      </c>
    </row>
    <row r="3" spans="1:61" ht="21" hidden="1" customHeight="1">
      <c r="A3" s="1286"/>
      <c r="B3" s="1286"/>
      <c r="C3" s="1286"/>
      <c r="D3" s="1286"/>
      <c r="E3" s="2507"/>
      <c r="F3" s="2506">
        <v>1</v>
      </c>
      <c r="G3" s="1286"/>
      <c r="H3" s="1286"/>
      <c r="I3" s="1286"/>
      <c r="J3" s="1286"/>
      <c r="K3" s="1286"/>
      <c r="L3" s="1287"/>
      <c r="M3" s="1288"/>
      <c r="N3" s="1288"/>
      <c r="O3" s="1288"/>
      <c r="P3" s="1333"/>
      <c r="Q3" s="1334"/>
      <c r="R3" s="289"/>
      <c r="S3" s="1416" t="e">
        <f>INDEX(PT_DIFFERENTIATION_NUM_TER,MATCH(B3,PT_DIFFERENTIATION_TER_ID,0))</f>
        <v>#N/A</v>
      </c>
      <c r="T3" s="245" t="s">
        <v>416</v>
      </c>
      <c r="U3" s="237"/>
      <c r="V3" s="2493"/>
      <c r="W3" s="2493"/>
      <c r="X3" s="2493"/>
      <c r="Y3" s="2493"/>
      <c r="Z3" s="2493"/>
      <c r="AA3" s="2493"/>
      <c r="AB3" s="2493"/>
      <c r="AC3" s="2494"/>
      <c r="AD3" s="2492" t="e">
        <f>INDEX(PT_DIFFERENTIATION_TER,MATCH(B3,PT_DIFFERENTIATION_TER_ID,0))</f>
        <v>#N/A</v>
      </c>
      <c r="AE3" s="2493"/>
      <c r="AF3" s="2493"/>
      <c r="AG3" s="2493"/>
      <c r="AH3" s="2493"/>
      <c r="AI3" s="2493"/>
      <c r="AJ3" s="2493"/>
      <c r="AK3" s="2493"/>
      <c r="AL3" s="2493"/>
      <c r="AM3" s="2493"/>
      <c r="AN3" s="2493"/>
      <c r="AO3" s="2493"/>
      <c r="AP3" s="2493"/>
      <c r="AQ3" s="2493"/>
      <c r="AR3" s="2493"/>
      <c r="AS3" s="2493"/>
      <c r="AT3" s="2493"/>
      <c r="AU3" s="2493"/>
      <c r="AV3" s="2493"/>
      <c r="AW3" s="2493"/>
      <c r="AX3" s="2493"/>
      <c r="AY3" s="2493"/>
      <c r="AZ3" s="2493"/>
      <c r="BA3" s="2493"/>
      <c r="BB3" s="2494"/>
      <c r="BC3" s="1181" t="s">
        <v>417</v>
      </c>
      <c r="BE3" s="436"/>
      <c r="BF3" s="436" t="str">
        <f t="shared" si="0"/>
        <v>Территория действия тарифа</v>
      </c>
      <c r="BG3" s="436"/>
      <c r="BH3" s="436"/>
      <c r="BI3" s="1078">
        <v>0</v>
      </c>
    </row>
    <row r="4" spans="1:61" ht="33.75" hidden="1" customHeight="1">
      <c r="A4" s="1286"/>
      <c r="B4" s="1286"/>
      <c r="C4" s="1286"/>
      <c r="D4" s="1286"/>
      <c r="E4" s="2507"/>
      <c r="F4" s="2507"/>
      <c r="G4" s="2506">
        <v>1</v>
      </c>
      <c r="H4" s="1286"/>
      <c r="I4" s="1286"/>
      <c r="J4" s="1286"/>
      <c r="K4" s="1286"/>
      <c r="L4" s="1287"/>
      <c r="M4" s="1288"/>
      <c r="N4" s="1288"/>
      <c r="O4" s="1288"/>
      <c r="P4" s="1335"/>
      <c r="Q4" s="1334"/>
      <c r="R4" s="289"/>
      <c r="S4" s="1416" t="e">
        <f>INDEX(PT_DIFFERENTIATION_NUM_CS,MATCH(C4,PT_DIFFERENTIATION_CS_ID,0))</f>
        <v>#N/A</v>
      </c>
      <c r="T4" s="246" t="s">
        <v>547</v>
      </c>
      <c r="U4" s="237"/>
      <c r="V4" s="2493"/>
      <c r="W4" s="2493"/>
      <c r="X4" s="2493"/>
      <c r="Y4" s="2493"/>
      <c r="Z4" s="2493"/>
      <c r="AA4" s="2493"/>
      <c r="AB4" s="2493"/>
      <c r="AC4" s="2494"/>
      <c r="AD4" s="2492" t="e">
        <f>INDEX(PT_DIFFERENTIATION_CS,MATCH(C4,PT_DIFFERENTIATION_CS_ID,0))</f>
        <v>#N/A</v>
      </c>
      <c r="AE4" s="2493"/>
      <c r="AF4" s="2493"/>
      <c r="AG4" s="2493"/>
      <c r="AH4" s="2493"/>
      <c r="AI4" s="2493"/>
      <c r="AJ4" s="2493"/>
      <c r="AK4" s="2493"/>
      <c r="AL4" s="2493"/>
      <c r="AM4" s="2493"/>
      <c r="AN4" s="2493"/>
      <c r="AO4" s="2493"/>
      <c r="AP4" s="2493"/>
      <c r="AQ4" s="2493"/>
      <c r="AR4" s="2493"/>
      <c r="AS4" s="2493"/>
      <c r="AT4" s="2493"/>
      <c r="AU4" s="2493"/>
      <c r="AV4" s="2493"/>
      <c r="AW4" s="2493"/>
      <c r="AX4" s="2493"/>
      <c r="AY4" s="2493"/>
      <c r="AZ4" s="2493"/>
      <c r="BA4" s="2493"/>
      <c r="BB4" s="2494"/>
      <c r="BC4" s="1181" t="s">
        <v>548</v>
      </c>
      <c r="BE4" s="436"/>
      <c r="BF4" s="436" t="str">
        <f t="shared" si="0"/>
        <v>Наименование централизованной системы горячего водоснабжения</v>
      </c>
      <c r="BG4" s="436"/>
      <c r="BH4" s="436"/>
      <c r="BI4" s="1078">
        <v>0</v>
      </c>
    </row>
    <row r="5" spans="1:61" s="1565" customFormat="1" ht="14.25" hidden="1" customHeight="1">
      <c r="A5" s="1266"/>
      <c r="B5" s="1266"/>
      <c r="C5" s="1266"/>
      <c r="D5" s="1266"/>
      <c r="E5" s="2507"/>
      <c r="F5" s="2507"/>
      <c r="G5" s="2507"/>
      <c r="H5" s="2506">
        <v>1</v>
      </c>
      <c r="I5" s="1266"/>
      <c r="J5" s="1266"/>
      <c r="K5" s="1266"/>
      <c r="L5" s="1269"/>
      <c r="M5" s="1238"/>
      <c r="N5" s="1238"/>
      <c r="O5" s="1238"/>
      <c r="P5" s="1420"/>
      <c r="Q5" s="1421"/>
      <c r="R5" s="293"/>
      <c r="S5" s="969"/>
      <c r="T5" s="1422"/>
      <c r="U5" s="1307"/>
      <c r="V5" s="2536"/>
      <c r="W5" s="2536"/>
      <c r="X5" s="2536"/>
      <c r="Y5" s="2536"/>
      <c r="Z5" s="2536"/>
      <c r="AA5" s="2536"/>
      <c r="AB5" s="2536"/>
      <c r="AC5" s="2537"/>
      <c r="AD5" s="2535"/>
      <c r="AE5" s="2536"/>
      <c r="AF5" s="2536"/>
      <c r="AG5" s="2536"/>
      <c r="AH5" s="2536"/>
      <c r="AI5" s="2536"/>
      <c r="AJ5" s="2536"/>
      <c r="AK5" s="2536"/>
      <c r="AL5" s="2536"/>
      <c r="AM5" s="2536"/>
      <c r="AN5" s="2536"/>
      <c r="AO5" s="2536"/>
      <c r="AP5" s="2536"/>
      <c r="AQ5" s="2536"/>
      <c r="AR5" s="2536"/>
      <c r="AS5" s="2536"/>
      <c r="AT5" s="2536"/>
      <c r="AU5" s="2536"/>
      <c r="AV5" s="2536"/>
      <c r="AW5" s="2536"/>
      <c r="AX5" s="2536"/>
      <c r="AY5" s="2536"/>
      <c r="AZ5" s="2536"/>
      <c r="BA5" s="2536"/>
      <c r="BB5" s="2537"/>
      <c r="BC5" s="1308" t="s">
        <v>421</v>
      </c>
      <c r="BE5" s="436"/>
      <c r="BF5" s="436" t="str">
        <f t="shared" si="0"/>
        <v/>
      </c>
      <c r="BG5" s="436"/>
      <c r="BH5" s="436"/>
      <c r="BI5" s="447">
        <v>0</v>
      </c>
    </row>
    <row r="6" spans="1:61" s="1565" customFormat="1" ht="14.25" hidden="1" customHeight="1">
      <c r="A6" s="1266"/>
      <c r="B6" s="1266"/>
      <c r="C6" s="1266"/>
      <c r="D6" s="1266"/>
      <c r="E6" s="2507"/>
      <c r="F6" s="2507"/>
      <c r="G6" s="2507"/>
      <c r="H6" s="2507"/>
      <c r="I6" s="2504" t="str">
        <f>S5&amp;".1"</f>
        <v>.1</v>
      </c>
      <c r="J6" s="1266"/>
      <c r="K6" s="1266"/>
      <c r="L6" s="1269" t="s">
        <v>422</v>
      </c>
      <c r="M6" s="446"/>
      <c r="N6" s="446"/>
      <c r="O6" s="446"/>
      <c r="P6" s="2505">
        <v>1</v>
      </c>
      <c r="Q6" s="1404"/>
      <c r="R6" s="292"/>
      <c r="S6" s="969"/>
      <c r="T6" s="1306"/>
      <c r="U6" s="1307"/>
      <c r="V6" s="2536"/>
      <c r="W6" s="2536"/>
      <c r="X6" s="2536"/>
      <c r="Y6" s="2536"/>
      <c r="Z6" s="2536"/>
      <c r="AA6" s="2536"/>
      <c r="AB6" s="2536"/>
      <c r="AC6" s="2537"/>
      <c r="AD6" s="2535"/>
      <c r="AE6" s="2536"/>
      <c r="AF6" s="2536"/>
      <c r="AG6" s="2536"/>
      <c r="AH6" s="2536"/>
      <c r="AI6" s="2536"/>
      <c r="AJ6" s="2536"/>
      <c r="AK6" s="2536"/>
      <c r="AL6" s="2536"/>
      <c r="AM6" s="2536"/>
      <c r="AN6" s="2536"/>
      <c r="AO6" s="2536"/>
      <c r="AP6" s="2536"/>
      <c r="AQ6" s="2536"/>
      <c r="AR6" s="2536"/>
      <c r="AS6" s="2536"/>
      <c r="AT6" s="2536"/>
      <c r="AU6" s="2536"/>
      <c r="AV6" s="2536"/>
      <c r="AW6" s="2536"/>
      <c r="AX6" s="2536"/>
      <c r="AY6" s="2536"/>
      <c r="AZ6" s="2536"/>
      <c r="BA6" s="2536"/>
      <c r="BB6" s="2537"/>
      <c r="BC6" s="1308"/>
      <c r="BE6" s="436"/>
      <c r="BF6" s="436" t="str">
        <f t="shared" si="0"/>
        <v/>
      </c>
      <c r="BG6" s="436"/>
      <c r="BH6" s="436"/>
      <c r="BI6" s="447">
        <v>0</v>
      </c>
    </row>
    <row r="7" spans="1:61" s="1565" customFormat="1" ht="14.25" hidden="1" customHeight="1">
      <c r="A7" s="1266"/>
      <c r="B7" s="1266"/>
      <c r="C7" s="1266"/>
      <c r="D7" s="1266"/>
      <c r="E7" s="2507"/>
      <c r="F7" s="2507"/>
      <c r="G7" s="2507"/>
      <c r="H7" s="2507"/>
      <c r="I7" s="2527"/>
      <c r="J7" s="2504" t="str">
        <f>S5&amp;".1"</f>
        <v>.1</v>
      </c>
      <c r="K7" s="1266"/>
      <c r="L7" s="1269"/>
      <c r="M7" s="446"/>
      <c r="N7" s="446"/>
      <c r="O7" s="446"/>
      <c r="P7" s="2505"/>
      <c r="Q7" s="2505">
        <v>1</v>
      </c>
      <c r="R7" s="293"/>
      <c r="S7" s="969"/>
      <c r="T7" s="1322"/>
      <c r="U7" s="1307"/>
      <c r="V7" s="2536"/>
      <c r="W7" s="2536"/>
      <c r="X7" s="2536"/>
      <c r="Y7" s="2536"/>
      <c r="Z7" s="2536"/>
      <c r="AA7" s="2536"/>
      <c r="AB7" s="2536"/>
      <c r="AC7" s="2537"/>
      <c r="AD7" s="2535"/>
      <c r="AE7" s="2536"/>
      <c r="AF7" s="2536"/>
      <c r="AG7" s="2536"/>
      <c r="AH7" s="2536"/>
      <c r="AI7" s="2536"/>
      <c r="AJ7" s="2536"/>
      <c r="AK7" s="2536"/>
      <c r="AL7" s="2536"/>
      <c r="AM7" s="2536"/>
      <c r="AN7" s="2536"/>
      <c r="AO7" s="2536"/>
      <c r="AP7" s="2536"/>
      <c r="AQ7" s="2536"/>
      <c r="AR7" s="2536"/>
      <c r="AS7" s="2536"/>
      <c r="AT7" s="2536"/>
      <c r="AU7" s="2536"/>
      <c r="AV7" s="2536"/>
      <c r="AW7" s="2536"/>
      <c r="AX7" s="2536"/>
      <c r="AY7" s="2536"/>
      <c r="AZ7" s="2536"/>
      <c r="BA7" s="2536"/>
      <c r="BB7" s="2537"/>
      <c r="BC7" s="1308"/>
      <c r="BE7" s="436"/>
      <c r="BF7" s="436" t="str">
        <f t="shared" si="0"/>
        <v/>
      </c>
      <c r="BG7" s="436"/>
      <c r="BH7" s="436"/>
      <c r="BI7" s="447">
        <v>0</v>
      </c>
    </row>
    <row r="8" spans="1:61" ht="11.25" hidden="1" customHeight="1">
      <c r="A8" s="1286"/>
      <c r="B8" s="1286"/>
      <c r="C8" s="1286"/>
      <c r="D8" s="1286"/>
      <c r="E8" s="2507"/>
      <c r="F8" s="2507"/>
      <c r="G8" s="2507"/>
      <c r="H8" s="2507"/>
      <c r="I8" s="2527"/>
      <c r="J8" s="2527"/>
      <c r="K8" s="2504" t="e">
        <f>S4&amp;".1"</f>
        <v>#N/A</v>
      </c>
      <c r="L8" s="1287"/>
      <c r="P8" s="2505"/>
      <c r="Q8" s="2505"/>
      <c r="R8" s="2570">
        <v>1</v>
      </c>
      <c r="S8" s="2564" t="e">
        <f>$K8</f>
        <v>#N/A</v>
      </c>
      <c r="T8" s="2585"/>
      <c r="U8" s="237"/>
      <c r="V8" s="686"/>
      <c r="W8" s="1180"/>
      <c r="X8" s="686"/>
      <c r="Y8" s="1180"/>
      <c r="Z8" s="1655"/>
      <c r="AA8" s="1392" t="s">
        <v>63</v>
      </c>
      <c r="AB8" s="1655"/>
      <c r="AC8" s="1392" t="s">
        <v>63</v>
      </c>
      <c r="AD8" s="2445" t="s">
        <v>63</v>
      </c>
      <c r="AE8" s="2549"/>
      <c r="AF8" s="2462">
        <v>1</v>
      </c>
      <c r="AG8" s="2588"/>
      <c r="AH8" s="2360" t="s">
        <v>63</v>
      </c>
      <c r="AI8" s="2549"/>
      <c r="AJ8" s="2462">
        <v>1</v>
      </c>
      <c r="AK8" s="2550" t="s">
        <v>22</v>
      </c>
      <c r="AL8" s="2360" t="s">
        <v>63</v>
      </c>
      <c r="AM8" s="2452"/>
      <c r="AN8" s="2462">
        <v>1</v>
      </c>
      <c r="AO8" s="2582"/>
      <c r="AP8" s="2583" t="s">
        <v>63</v>
      </c>
      <c r="AQ8" s="248"/>
      <c r="AR8" s="1409">
        <v>1</v>
      </c>
      <c r="AS8" s="1415" t="s">
        <v>22</v>
      </c>
      <c r="AT8" s="686"/>
      <c r="AU8" s="1180"/>
      <c r="AV8" s="686"/>
      <c r="AW8" s="1180"/>
      <c r="AX8" s="1655"/>
      <c r="AY8" s="1392" t="s">
        <v>63</v>
      </c>
      <c r="AZ8" s="1655"/>
      <c r="BA8" s="1392" t="s">
        <v>63</v>
      </c>
      <c r="BB8" s="1271"/>
      <c r="BC8" s="2501" t="s">
        <v>516</v>
      </c>
      <c r="BE8" s="436"/>
      <c r="BF8" s="436" t="str">
        <f t="shared" si="0"/>
        <v/>
      </c>
      <c r="BG8" s="436"/>
      <c r="BH8" s="436"/>
      <c r="BI8" s="1078">
        <v>0</v>
      </c>
    </row>
    <row r="9" spans="1:61" ht="11.25" hidden="1" customHeight="1">
      <c r="A9" s="1286"/>
      <c r="B9" s="1286"/>
      <c r="C9" s="1286"/>
      <c r="D9" s="1286"/>
      <c r="E9" s="2507"/>
      <c r="F9" s="2507"/>
      <c r="G9" s="2507"/>
      <c r="H9" s="2507"/>
      <c r="I9" s="2527"/>
      <c r="J9" s="2527"/>
      <c r="K9" s="2504"/>
      <c r="L9" s="1287"/>
      <c r="P9" s="2505"/>
      <c r="Q9" s="2505"/>
      <c r="R9" s="2570"/>
      <c r="S9" s="2565"/>
      <c r="T9" s="2586"/>
      <c r="U9" s="237"/>
      <c r="V9" s="1316"/>
      <c r="W9" s="1419"/>
      <c r="X9" s="1316"/>
      <c r="Y9" s="1419"/>
      <c r="Z9" s="1316"/>
      <c r="AA9" s="1316"/>
      <c r="AB9" s="1316"/>
      <c r="AC9" s="1316"/>
      <c r="AD9" s="2446"/>
      <c r="AE9" s="2549"/>
      <c r="AF9" s="2462"/>
      <c r="AG9" s="2588"/>
      <c r="AH9" s="2360"/>
      <c r="AI9" s="2549"/>
      <c r="AJ9" s="2462"/>
      <c r="AK9" s="2550"/>
      <c r="AL9" s="2360"/>
      <c r="AM9" s="2457"/>
      <c r="AN9" s="2462"/>
      <c r="AO9" s="2582"/>
      <c r="AP9" s="2584"/>
      <c r="AQ9" s="253"/>
      <c r="AR9" s="352"/>
      <c r="AS9" s="352" t="s">
        <v>517</v>
      </c>
      <c r="AT9" s="1316"/>
      <c r="AU9" s="1419"/>
      <c r="AV9" s="1316"/>
      <c r="AW9" s="1419"/>
      <c r="AX9" s="1316"/>
      <c r="AY9" s="1316"/>
      <c r="AZ9" s="1316"/>
      <c r="BA9" s="1316"/>
      <c r="BB9" s="1320"/>
      <c r="BC9" s="2502"/>
      <c r="BE9" s="436"/>
      <c r="BF9" s="436"/>
      <c r="BG9" s="436"/>
      <c r="BH9" s="436"/>
      <c r="BI9" s="1078">
        <v>0</v>
      </c>
    </row>
    <row r="10" spans="1:61" ht="11.25" hidden="1" customHeight="1">
      <c r="A10" s="1286"/>
      <c r="B10" s="1286"/>
      <c r="C10" s="1286"/>
      <c r="D10" s="1286"/>
      <c r="E10" s="2507"/>
      <c r="F10" s="2507"/>
      <c r="G10" s="2507"/>
      <c r="H10" s="2507"/>
      <c r="I10" s="2527"/>
      <c r="J10" s="2527"/>
      <c r="K10" s="2504"/>
      <c r="L10" s="1287"/>
      <c r="P10" s="2505"/>
      <c r="Q10" s="2505"/>
      <c r="R10" s="2570"/>
      <c r="S10" s="2565"/>
      <c r="T10" s="2586"/>
      <c r="U10" s="237"/>
      <c r="V10" s="1316"/>
      <c r="W10" s="1419"/>
      <c r="X10" s="1316"/>
      <c r="Y10" s="1419"/>
      <c r="Z10" s="1316"/>
      <c r="AA10" s="1316"/>
      <c r="AB10" s="1316"/>
      <c r="AC10" s="1316"/>
      <c r="AD10" s="2446"/>
      <c r="AE10" s="2549"/>
      <c r="AF10" s="2462"/>
      <c r="AG10" s="2588"/>
      <c r="AH10" s="2360"/>
      <c r="AI10" s="2549"/>
      <c r="AJ10" s="2462"/>
      <c r="AK10" s="2550"/>
      <c r="AL10" s="2360"/>
      <c r="AM10" s="253"/>
      <c r="AN10" s="1423"/>
      <c r="AO10" s="1423" t="s">
        <v>518</v>
      </c>
      <c r="AP10" s="352"/>
      <c r="AQ10" s="352"/>
      <c r="AR10" s="352"/>
      <c r="AS10" s="1316"/>
      <c r="AT10" s="1316"/>
      <c r="AU10" s="1419"/>
      <c r="AV10" s="1316"/>
      <c r="AW10" s="1419"/>
      <c r="AX10" s="1316"/>
      <c r="AY10" s="1316"/>
      <c r="AZ10" s="1316"/>
      <c r="BA10" s="1316"/>
      <c r="BB10" s="1320"/>
      <c r="BC10" s="2502"/>
      <c r="BE10" s="436"/>
      <c r="BF10" s="436"/>
      <c r="BG10" s="436"/>
      <c r="BH10" s="436"/>
      <c r="BI10" s="1078">
        <v>0</v>
      </c>
    </row>
    <row r="11" spans="1:61" ht="11.25" hidden="1" customHeight="1">
      <c r="A11" s="1286"/>
      <c r="B11" s="1286"/>
      <c r="C11" s="1286"/>
      <c r="D11" s="1286"/>
      <c r="E11" s="2507"/>
      <c r="F11" s="2507"/>
      <c r="G11" s="2507"/>
      <c r="H11" s="2507"/>
      <c r="I11" s="2527"/>
      <c r="J11" s="2527"/>
      <c r="K11" s="2504"/>
      <c r="L11" s="1287"/>
      <c r="P11" s="2505"/>
      <c r="Q11" s="2505"/>
      <c r="R11" s="2570"/>
      <c r="S11" s="2565"/>
      <c r="T11" s="2586"/>
      <c r="U11" s="237"/>
      <c r="V11" s="1316"/>
      <c r="W11" s="1419"/>
      <c r="X11" s="1316"/>
      <c r="Y11" s="1419"/>
      <c r="Z11" s="1316"/>
      <c r="AA11" s="1316"/>
      <c r="AB11" s="1316"/>
      <c r="AC11" s="1316"/>
      <c r="AD11" s="2446"/>
      <c r="AE11" s="2549"/>
      <c r="AF11" s="2462"/>
      <c r="AG11" s="2588"/>
      <c r="AH11" s="2360"/>
      <c r="AI11" s="231"/>
      <c r="AJ11" s="351"/>
      <c r="AK11" s="250" t="s">
        <v>519</v>
      </c>
      <c r="AL11" s="1316"/>
      <c r="AM11" s="1316"/>
      <c r="AN11" s="1316"/>
      <c r="AO11" s="1316"/>
      <c r="AP11" s="1316"/>
      <c r="AQ11" s="1316"/>
      <c r="AR11" s="1316"/>
      <c r="AS11" s="1316"/>
      <c r="AT11" s="1316"/>
      <c r="AU11" s="1419"/>
      <c r="AV11" s="1316"/>
      <c r="AW11" s="1419"/>
      <c r="AX11" s="1316"/>
      <c r="AY11" s="1316"/>
      <c r="AZ11" s="1316"/>
      <c r="BA11" s="1316"/>
      <c r="BB11" s="1320"/>
      <c r="BC11" s="2502"/>
      <c r="BE11" s="436"/>
      <c r="BF11" s="436"/>
      <c r="BG11" s="436"/>
      <c r="BH11" s="436"/>
      <c r="BI11" s="1078">
        <v>0</v>
      </c>
    </row>
    <row r="12" spans="1:61" ht="11.25" hidden="1" customHeight="1">
      <c r="A12" s="1286"/>
      <c r="B12" s="1286"/>
      <c r="C12" s="1286"/>
      <c r="D12" s="1286"/>
      <c r="E12" s="2507"/>
      <c r="F12" s="2507"/>
      <c r="G12" s="2507"/>
      <c r="H12" s="2507"/>
      <c r="I12" s="2527"/>
      <c r="J12" s="2527"/>
      <c r="K12" s="2504"/>
      <c r="L12" s="1287"/>
      <c r="P12" s="2505"/>
      <c r="Q12" s="2505"/>
      <c r="R12" s="2570"/>
      <c r="S12" s="2566"/>
      <c r="T12" s="2587"/>
      <c r="U12" s="237"/>
      <c r="V12" s="1316"/>
      <c r="W12" s="1317" t="str">
        <f>Z8&amp;"-"&amp;AB8</f>
        <v>-</v>
      </c>
      <c r="X12" s="1316"/>
      <c r="Y12" s="1317" t="str">
        <f>AB8&amp;"-"&amp;AD8</f>
        <v>-да</v>
      </c>
      <c r="Z12" s="1316"/>
      <c r="AA12" s="1316"/>
      <c r="AB12" s="1316"/>
      <c r="AC12" s="1316"/>
      <c r="AD12" s="2375"/>
      <c r="AE12" s="249"/>
      <c r="AF12" s="251"/>
      <c r="AG12" s="352" t="s">
        <v>520</v>
      </c>
      <c r="AH12" s="1316"/>
      <c r="AI12" s="1316"/>
      <c r="AJ12" s="1316"/>
      <c r="AK12" s="1316"/>
      <c r="AL12" s="1316"/>
      <c r="AM12" s="1316"/>
      <c r="AN12" s="1316"/>
      <c r="AO12" s="1316"/>
      <c r="AP12" s="1316"/>
      <c r="AQ12" s="1316"/>
      <c r="AR12" s="1316"/>
      <c r="AS12" s="1316"/>
      <c r="AT12" s="1316"/>
      <c r="AU12" s="1317" t="str">
        <f>AX8&amp;"-"&amp;AZ8</f>
        <v>-</v>
      </c>
      <c r="AV12" s="1316"/>
      <c r="AW12" s="1317" t="str">
        <f>AZ8&amp;"-"&amp;BB8</f>
        <v>-</v>
      </c>
      <c r="AX12" s="1316"/>
      <c r="AY12" s="1316"/>
      <c r="AZ12" s="1316"/>
      <c r="BA12" s="1316"/>
      <c r="BB12" s="1319" t="str">
        <f>BE8&amp;"-"&amp;BG8</f>
        <v>-</v>
      </c>
      <c r="BC12" s="2502"/>
      <c r="BE12" s="436"/>
      <c r="BF12" s="436" t="str">
        <f t="shared" ref="BF12:BF18" si="1">IF(T12="","",T12)</f>
        <v/>
      </c>
      <c r="BG12" s="436"/>
      <c r="BH12" s="436"/>
      <c r="BI12" s="1078">
        <v>0</v>
      </c>
    </row>
    <row r="13" spans="1:61" ht="11.25" hidden="1" customHeight="1">
      <c r="A13" s="1286"/>
      <c r="B13" s="1286"/>
      <c r="C13" s="1286"/>
      <c r="D13" s="1286"/>
      <c r="E13" s="2507"/>
      <c r="F13" s="2507"/>
      <c r="G13" s="2507"/>
      <c r="H13" s="2507"/>
      <c r="I13" s="2527"/>
      <c r="J13" s="2504"/>
      <c r="K13" s="1286"/>
      <c r="L13" s="1287"/>
      <c r="P13" s="2505"/>
      <c r="Q13" s="2505"/>
      <c r="R13" s="292"/>
      <c r="S13" s="1201"/>
      <c r="T13" s="224" t="s">
        <v>483</v>
      </c>
      <c r="U13" s="303"/>
      <c r="V13" s="303"/>
      <c r="W13" s="303"/>
      <c r="X13" s="303"/>
      <c r="Y13" s="303"/>
      <c r="Z13" s="303"/>
      <c r="AA13" s="303"/>
      <c r="AB13" s="303"/>
      <c r="AC13" s="303"/>
      <c r="AD13" s="1428"/>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503"/>
      <c r="BE13" s="436"/>
      <c r="BF13" s="436" t="str">
        <f t="shared" si="1"/>
        <v>Добавить строку</v>
      </c>
      <c r="BG13" s="436"/>
      <c r="BH13" s="436"/>
      <c r="BI13" s="1078">
        <v>0</v>
      </c>
    </row>
    <row r="14" spans="1:61" s="1565" customFormat="1" ht="14.25" hidden="1" customHeight="1">
      <c r="A14" s="1266"/>
      <c r="B14" s="1266"/>
      <c r="C14" s="1266"/>
      <c r="D14" s="1266"/>
      <c r="E14" s="2507"/>
      <c r="F14" s="2507"/>
      <c r="G14" s="2507"/>
      <c r="H14" s="2507"/>
      <c r="I14" s="2504"/>
      <c r="J14" s="1266"/>
      <c r="K14" s="1266"/>
      <c r="L14" s="1269"/>
      <c r="M14" s="446"/>
      <c r="N14" s="446"/>
      <c r="O14" s="446"/>
      <c r="P14" s="2505"/>
      <c r="Q14" s="1404"/>
      <c r="R14" s="292"/>
      <c r="S14" s="1309"/>
      <c r="T14" s="1310"/>
      <c r="U14" s="1311"/>
      <c r="V14" s="1311"/>
      <c r="W14" s="1311"/>
      <c r="X14" s="1311"/>
      <c r="Y14" s="1311"/>
      <c r="Z14" s="1311"/>
      <c r="AA14" s="1311"/>
      <c r="AB14" s="1311"/>
      <c r="AC14" s="1311"/>
      <c r="AD14" s="1311"/>
      <c r="AE14" s="1311"/>
      <c r="AF14" s="1311"/>
      <c r="AG14" s="1311"/>
      <c r="AH14" s="1311"/>
      <c r="AI14" s="1311"/>
      <c r="AJ14" s="1311"/>
      <c r="AK14" s="1311"/>
      <c r="AL14" s="1311"/>
      <c r="AM14" s="1311"/>
      <c r="AN14" s="1311"/>
      <c r="AO14" s="1311"/>
      <c r="AP14" s="1311"/>
      <c r="AQ14" s="1311"/>
      <c r="AR14" s="1311"/>
      <c r="AS14" s="1311"/>
      <c r="AT14" s="1311"/>
      <c r="AU14" s="1311"/>
      <c r="AV14" s="1311"/>
      <c r="AW14" s="1311"/>
      <c r="AX14" s="1311"/>
      <c r="AY14" s="1311"/>
      <c r="AZ14" s="1311"/>
      <c r="BA14" s="1311"/>
      <c r="BB14" s="1311"/>
      <c r="BC14" s="1312"/>
      <c r="BE14" s="436"/>
      <c r="BF14" s="436" t="str">
        <f t="shared" si="1"/>
        <v/>
      </c>
      <c r="BG14" s="436"/>
      <c r="BH14" s="436"/>
      <c r="BI14" s="447">
        <v>0</v>
      </c>
    </row>
    <row r="15" spans="1:61" s="1565" customFormat="1" ht="14.25" hidden="1" customHeight="1">
      <c r="A15" s="1266"/>
      <c r="B15" s="1266"/>
      <c r="C15" s="1266"/>
      <c r="D15" s="1266"/>
      <c r="E15" s="2507"/>
      <c r="F15" s="2507"/>
      <c r="G15" s="2507"/>
      <c r="H15" s="2506"/>
      <c r="I15" s="1266"/>
      <c r="J15" s="1266"/>
      <c r="K15" s="1266"/>
      <c r="L15" s="1269"/>
      <c r="M15" s="1238"/>
      <c r="N15" s="1238"/>
      <c r="O15" s="454"/>
      <c r="P15" s="316"/>
      <c r="Q15" s="1267"/>
      <c r="R15" s="1324"/>
      <c r="S15" s="1309"/>
      <c r="T15" s="1310"/>
      <c r="U15" s="1311"/>
      <c r="V15" s="1311"/>
      <c r="W15" s="1311"/>
      <c r="X15" s="1311"/>
      <c r="Y15" s="1311"/>
      <c r="Z15" s="1311"/>
      <c r="AA15" s="1311"/>
      <c r="AB15" s="1311"/>
      <c r="AC15" s="1311"/>
      <c r="AD15" s="1311"/>
      <c r="AE15" s="1311"/>
      <c r="AF15" s="1311"/>
      <c r="AG15" s="1311"/>
      <c r="AH15" s="1311"/>
      <c r="AI15" s="1311"/>
      <c r="AJ15" s="1311"/>
      <c r="AK15" s="1311"/>
      <c r="AL15" s="1311"/>
      <c r="AM15" s="1311"/>
      <c r="AN15" s="1311"/>
      <c r="AO15" s="1311"/>
      <c r="AP15" s="1311"/>
      <c r="AQ15" s="1311"/>
      <c r="AR15" s="1311"/>
      <c r="AS15" s="1311"/>
      <c r="AT15" s="1311"/>
      <c r="AU15" s="1311"/>
      <c r="AV15" s="1311"/>
      <c r="AW15" s="1311"/>
      <c r="AX15" s="1311"/>
      <c r="AY15" s="1311"/>
      <c r="AZ15" s="1311"/>
      <c r="BA15" s="1311"/>
      <c r="BB15" s="1311"/>
      <c r="BC15" s="1312"/>
      <c r="BE15" s="436"/>
      <c r="BF15" s="436" t="str">
        <f t="shared" si="1"/>
        <v/>
      </c>
      <c r="BG15" s="436"/>
      <c r="BH15" s="436"/>
      <c r="BI15" s="447">
        <v>0</v>
      </c>
    </row>
    <row r="16" spans="1:61" s="1565" customFormat="1" ht="14.25" hidden="1" customHeight="1">
      <c r="A16" s="1266"/>
      <c r="B16" s="1266"/>
      <c r="C16" s="1266"/>
      <c r="D16" s="1237"/>
      <c r="E16" s="2507"/>
      <c r="F16" s="2507"/>
      <c r="G16" s="2506"/>
      <c r="H16" s="1237"/>
      <c r="I16" s="1237"/>
      <c r="J16" s="1237"/>
      <c r="K16" s="1237"/>
      <c r="L16" s="1417"/>
      <c r="M16" s="1238"/>
      <c r="N16" s="1238"/>
      <c r="P16" s="1239"/>
      <c r="Q16" s="1240"/>
      <c r="R16" s="1239"/>
      <c r="S16" s="1245"/>
      <c r="T16" s="1248"/>
      <c r="U16" s="1247"/>
      <c r="V16" s="1247"/>
      <c r="W16" s="1247"/>
      <c r="X16" s="1247"/>
      <c r="Y16" s="1247"/>
      <c r="Z16" s="1247"/>
      <c r="AA16" s="1247"/>
      <c r="AB16" s="1247"/>
      <c r="AC16" s="1247"/>
      <c r="AD16" s="1247"/>
      <c r="AE16" s="1247"/>
      <c r="AF16" s="1247"/>
      <c r="AG16" s="1247"/>
      <c r="AH16" s="1247"/>
      <c r="AI16" s="1247"/>
      <c r="AJ16" s="1247"/>
      <c r="AK16" s="1247"/>
      <c r="AL16" s="1247"/>
      <c r="AM16" s="1247"/>
      <c r="AN16" s="1247"/>
      <c r="AO16" s="1247"/>
      <c r="AP16" s="1247"/>
      <c r="AQ16" s="1247"/>
      <c r="AR16" s="1247"/>
      <c r="AS16" s="1247"/>
      <c r="AT16" s="1247"/>
      <c r="AU16" s="1247"/>
      <c r="AV16" s="1247"/>
      <c r="AW16" s="1247"/>
      <c r="AX16" s="1247"/>
      <c r="AY16" s="1247"/>
      <c r="AZ16" s="1247"/>
      <c r="BA16" s="1247"/>
      <c r="BB16" s="1247"/>
      <c r="BC16" s="1247"/>
      <c r="BE16" s="718"/>
      <c r="BF16" s="718" t="str">
        <f t="shared" si="1"/>
        <v/>
      </c>
      <c r="BG16" s="718"/>
      <c r="BH16" s="718"/>
      <c r="BI16" s="454">
        <v>0</v>
      </c>
    </row>
    <row r="17" spans="1:61" s="1565" customFormat="1" ht="14.25" hidden="1" customHeight="1">
      <c r="A17" s="1266"/>
      <c r="B17" s="1266"/>
      <c r="C17" s="1237"/>
      <c r="D17" s="1237"/>
      <c r="E17" s="2507"/>
      <c r="F17" s="2506"/>
      <c r="G17" s="1237"/>
      <c r="H17" s="1237"/>
      <c r="I17" s="1237"/>
      <c r="J17" s="1237"/>
      <c r="K17" s="1237"/>
      <c r="L17" s="1417"/>
      <c r="M17" s="1244"/>
      <c r="N17" s="1244"/>
      <c r="P17" s="1239"/>
      <c r="Q17" s="1240"/>
      <c r="R17" s="1239"/>
      <c r="S17" s="1245"/>
      <c r="T17" s="1248" t="s">
        <v>434</v>
      </c>
      <c r="U17" s="1247"/>
      <c r="V17" s="1247"/>
      <c r="W17" s="1247"/>
      <c r="X17" s="1247"/>
      <c r="Y17" s="1247"/>
      <c r="Z17" s="1247"/>
      <c r="AA17" s="1247"/>
      <c r="AB17" s="1247"/>
      <c r="AC17" s="1247"/>
      <c r="AD17" s="1247"/>
      <c r="AE17" s="1247"/>
      <c r="AF17" s="1247"/>
      <c r="AG17" s="1247"/>
      <c r="AH17" s="1247"/>
      <c r="AI17" s="1247"/>
      <c r="AJ17" s="1247"/>
      <c r="AK17" s="1247"/>
      <c r="AL17" s="1247"/>
      <c r="AM17" s="1247"/>
      <c r="AN17" s="1247"/>
      <c r="AO17" s="1247"/>
      <c r="AP17" s="1247"/>
      <c r="AQ17" s="1247"/>
      <c r="AR17" s="1247"/>
      <c r="AS17" s="1247"/>
      <c r="AT17" s="1247"/>
      <c r="AU17" s="1247"/>
      <c r="AV17" s="1247"/>
      <c r="AW17" s="1247"/>
      <c r="AX17" s="1247"/>
      <c r="AY17" s="1247"/>
      <c r="AZ17" s="1247"/>
      <c r="BA17" s="1247"/>
      <c r="BB17" s="1247"/>
      <c r="BC17" s="1247"/>
      <c r="BE17" s="718"/>
      <c r="BF17" s="718" t="str">
        <f t="shared" si="1"/>
        <v>Добавить централизованную систему для дифференциации</v>
      </c>
      <c r="BG17" s="718"/>
      <c r="BH17" s="718"/>
      <c r="BI17" s="454">
        <v>0</v>
      </c>
    </row>
    <row r="18" spans="1:61" s="1565" customFormat="1" ht="14.25" hidden="1" customHeight="1">
      <c r="A18" s="1266"/>
      <c r="B18" s="1266"/>
      <c r="C18" s="1266"/>
      <c r="D18" s="1266"/>
      <c r="E18" s="2506"/>
      <c r="F18" s="1266"/>
      <c r="G18" s="1266"/>
      <c r="H18" s="1266"/>
      <c r="I18" s="1266"/>
      <c r="J18" s="1266"/>
      <c r="K18" s="1266"/>
      <c r="L18" s="1269"/>
      <c r="M18" s="1244"/>
      <c r="N18" s="1244"/>
      <c r="O18" s="454"/>
      <c r="P18" s="316"/>
      <c r="Q18" s="1267"/>
      <c r="R18" s="316"/>
      <c r="S18" s="1245"/>
      <c r="T18" s="1248" t="s">
        <v>435</v>
      </c>
      <c r="U18" s="1247"/>
      <c r="V18" s="1247"/>
      <c r="W18" s="1247"/>
      <c r="X18" s="1247"/>
      <c r="Y18" s="1247"/>
      <c r="Z18" s="1247"/>
      <c r="AA18" s="1247"/>
      <c r="AB18" s="1247"/>
      <c r="AC18" s="1247"/>
      <c r="AD18" s="1247"/>
      <c r="AE18" s="1247"/>
      <c r="AF18" s="1247"/>
      <c r="AG18" s="1247"/>
      <c r="AH18" s="1247"/>
      <c r="AI18" s="1247"/>
      <c r="AJ18" s="1247"/>
      <c r="AK18" s="1247"/>
      <c r="AL18" s="1247"/>
      <c r="AM18" s="1247"/>
      <c r="AN18" s="1247"/>
      <c r="AO18" s="1247"/>
      <c r="AP18" s="1247"/>
      <c r="AQ18" s="1247"/>
      <c r="AR18" s="1247"/>
      <c r="AS18" s="1247"/>
      <c r="AT18" s="1247"/>
      <c r="AU18" s="1247"/>
      <c r="AV18" s="1247"/>
      <c r="AW18" s="1247"/>
      <c r="AX18" s="1247"/>
      <c r="AY18" s="1247"/>
      <c r="AZ18" s="1247"/>
      <c r="BA18" s="1247"/>
      <c r="BB18" s="1247"/>
      <c r="BC18" s="1247"/>
      <c r="BE18" s="436"/>
      <c r="BF18" s="436" t="str">
        <f t="shared" si="1"/>
        <v>Добавить территорию для дифференциации</v>
      </c>
      <c r="BG18" s="436"/>
      <c r="BH18" s="436"/>
      <c r="BI18" s="447">
        <v>0</v>
      </c>
    </row>
    <row r="19" spans="1:61" ht="14.25" hidden="1" customHeight="1">
      <c r="AC19" s="264"/>
      <c r="BA19" s="264"/>
      <c r="BI19" s="1078">
        <v>0</v>
      </c>
    </row>
    <row r="20" spans="1:61" ht="14.25" hidden="1" customHeight="1">
      <c r="AD20" s="1247" t="s">
        <v>19</v>
      </c>
      <c r="AE20" s="1424"/>
      <c r="AF20" s="484">
        <v>1</v>
      </c>
      <c r="AG20" s="1425"/>
      <c r="AH20" s="1247" t="s">
        <v>19</v>
      </c>
      <c r="AI20" s="1424"/>
      <c r="AJ20" s="484">
        <v>1</v>
      </c>
      <c r="AK20" s="1425"/>
      <c r="AL20" s="1247" t="s">
        <v>19</v>
      </c>
      <c r="AM20" s="1426"/>
      <c r="AN20" s="484">
        <v>1</v>
      </c>
      <c r="AO20" s="1427"/>
      <c r="AP20" s="1247" t="s">
        <v>19</v>
      </c>
      <c r="AQ20" s="1426"/>
      <c r="AR20" s="484">
        <v>1</v>
      </c>
      <c r="AS20" s="1427"/>
      <c r="AT20" s="262"/>
      <c r="AU20" s="320"/>
      <c r="AV20" s="262"/>
      <c r="AW20" s="320"/>
      <c r="AX20" s="1657"/>
      <c r="AY20" s="1408" t="s">
        <v>63</v>
      </c>
      <c r="AZ20" s="1657"/>
      <c r="BA20" s="1408" t="s">
        <v>63</v>
      </c>
      <c r="BI20" s="1078">
        <v>0</v>
      </c>
    </row>
    <row r="21" spans="1:61" ht="14.25" hidden="1" customHeight="1">
      <c r="BD21" s="432"/>
      <c r="BE21" s="432"/>
      <c r="BF21" s="432"/>
      <c r="BG21" s="432"/>
      <c r="BH21" s="432"/>
      <c r="BI21" s="1078">
        <v>0</v>
      </c>
    </row>
    <row r="22" spans="1:61" ht="14.25" hidden="1" customHeight="1">
      <c r="O22" s="1290" t="s">
        <v>436</v>
      </c>
      <c r="Z22" s="1268"/>
      <c r="AB22" s="1268"/>
      <c r="AC22" s="264"/>
      <c r="AX22" s="1268"/>
      <c r="AZ22" s="1268"/>
      <c r="BA22" s="264"/>
      <c r="BD22" s="432"/>
      <c r="BE22" s="432"/>
      <c r="BF22" s="432"/>
      <c r="BG22" s="432"/>
      <c r="BH22" s="432"/>
      <c r="BI22" s="1078">
        <v>0</v>
      </c>
    </row>
    <row r="23" spans="1:61" ht="14.25" hidden="1" customHeight="1">
      <c r="AC23" s="264"/>
      <c r="BA23" s="264"/>
      <c r="BD23" s="432"/>
      <c r="BE23" s="432"/>
      <c r="BF23" s="432"/>
      <c r="BG23" s="432"/>
      <c r="BH23" s="432"/>
      <c r="BI23" s="1078">
        <v>0</v>
      </c>
    </row>
    <row r="24" spans="1:61" s="1432" customFormat="1" ht="14.25" hidden="1" customHeight="1">
      <c r="M24" s="1431"/>
      <c r="N24" s="1431"/>
      <c r="O24" s="1432" t="s">
        <v>437</v>
      </c>
      <c r="P24" s="1431"/>
      <c r="Q24" s="1433"/>
      <c r="R24" s="1433"/>
      <c r="AA24" s="1430" t="s">
        <v>439</v>
      </c>
      <c r="AC24" s="1430" t="s">
        <v>440</v>
      </c>
      <c r="AD24" s="1430" t="s">
        <v>484</v>
      </c>
      <c r="AH24" s="1430" t="s">
        <v>484</v>
      </c>
      <c r="AK24" s="1430" t="s">
        <v>521</v>
      </c>
      <c r="AL24" s="1430" t="s">
        <v>484</v>
      </c>
      <c r="AP24" s="1430" t="s">
        <v>484</v>
      </c>
      <c r="AY24" s="1430" t="s">
        <v>439</v>
      </c>
      <c r="BA24" s="1430" t="s">
        <v>440</v>
      </c>
      <c r="BD24" s="1434"/>
      <c r="BE24" s="1434"/>
      <c r="BF24" s="1434"/>
      <c r="BG24" s="1434"/>
      <c r="BH24" s="1434"/>
      <c r="BI24" s="1430">
        <v>0</v>
      </c>
    </row>
    <row r="25" spans="1:61" ht="14.25" hidden="1" customHeight="1">
      <c r="O25" s="1287"/>
      <c r="BD25" s="432"/>
      <c r="BE25" s="432"/>
      <c r="BF25" s="432"/>
      <c r="BG25" s="432"/>
      <c r="BH25" s="432"/>
      <c r="BI25" s="1078">
        <v>0</v>
      </c>
    </row>
    <row r="26" spans="1:61" ht="14.25" hidden="1" customHeight="1">
      <c r="O26" s="1287"/>
      <c r="BD26" s="432"/>
      <c r="BE26" s="432"/>
      <c r="BF26" s="432"/>
      <c r="BG26" s="432"/>
      <c r="BH26" s="432"/>
      <c r="BI26" s="1078">
        <v>0</v>
      </c>
    </row>
    <row r="27" spans="1:61" ht="14.65" customHeight="1">
      <c r="Q27" s="228"/>
      <c r="R27" s="312"/>
      <c r="S27" s="1198"/>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78">
        <v>14</v>
      </c>
    </row>
    <row r="28" spans="1:61" ht="14.65" customHeight="1">
      <c r="Q28" s="228"/>
      <c r="R28" s="312"/>
      <c r="S28" s="249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490"/>
      <c r="U28" s="2490"/>
      <c r="V28" s="2490"/>
      <c r="W28" s="2490"/>
      <c r="X28" s="2490"/>
      <c r="Y28" s="2490"/>
      <c r="Z28" s="2490"/>
      <c r="AA28" s="2490"/>
      <c r="AB28" s="2490"/>
      <c r="AC28" s="2490"/>
      <c r="AD28" s="2490"/>
      <c r="AE28" s="2490"/>
      <c r="AF28" s="2490"/>
      <c r="AG28" s="2490"/>
      <c r="AH28" s="2490"/>
      <c r="AI28" s="2490"/>
      <c r="AJ28" s="2490"/>
      <c r="AK28" s="2490"/>
      <c r="AL28" s="2490"/>
      <c r="AM28" s="2490"/>
      <c r="AN28" s="2490"/>
      <c r="AO28" s="2490"/>
      <c r="AP28" s="2490"/>
      <c r="AQ28" s="2490"/>
      <c r="AR28" s="2490"/>
      <c r="AS28" s="2490"/>
      <c r="AT28" s="2490"/>
      <c r="AU28" s="2490"/>
      <c r="AV28" s="2490"/>
      <c r="AW28" s="2490"/>
      <c r="AX28" s="2490"/>
      <c r="AY28" s="2490"/>
      <c r="AZ28" s="2490"/>
      <c r="BA28" s="1166"/>
      <c r="BI28" s="1078">
        <v>14</v>
      </c>
    </row>
    <row r="29" spans="1:61" ht="14.65" customHeight="1">
      <c r="Q29" s="228"/>
      <c r="R29" s="312"/>
      <c r="S29" s="2436" t="str">
        <f>IF(org=0,"Не определено",org)</f>
        <v>ПАО "ТГК-2"</v>
      </c>
      <c r="T29" s="2436"/>
      <c r="U29" s="2436"/>
      <c r="V29" s="2436"/>
      <c r="W29" s="2436"/>
      <c r="X29" s="2436"/>
      <c r="Y29" s="2436"/>
      <c r="Z29" s="2436"/>
      <c r="AA29" s="2436"/>
      <c r="AB29" s="2436"/>
      <c r="AC29" s="2436"/>
      <c r="AD29" s="2436"/>
      <c r="AE29" s="2436"/>
      <c r="AF29" s="2436"/>
      <c r="AG29" s="2436"/>
      <c r="AH29" s="2436"/>
      <c r="AI29" s="2436"/>
      <c r="AJ29" s="2436"/>
      <c r="AK29" s="2436"/>
      <c r="AL29" s="2436"/>
      <c r="AM29" s="2436"/>
      <c r="AN29" s="2436"/>
      <c r="AO29" s="2436"/>
      <c r="AP29" s="2436"/>
      <c r="AQ29" s="2436"/>
      <c r="AR29" s="2436"/>
      <c r="AS29" s="2436"/>
      <c r="AT29" s="2436"/>
      <c r="AU29" s="2436"/>
      <c r="AV29" s="2436"/>
      <c r="AW29" s="2436"/>
      <c r="AX29" s="2436"/>
      <c r="AY29" s="2436"/>
      <c r="AZ29" s="2436"/>
      <c r="BA29" s="1166"/>
      <c r="BI29" s="1078">
        <v>14</v>
      </c>
    </row>
    <row r="30" spans="1:61" ht="14.25" hidden="1" customHeight="1">
      <c r="Q30" s="228"/>
      <c r="R30" s="312"/>
      <c r="S30" s="1198"/>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78">
        <v>0</v>
      </c>
    </row>
    <row r="31" spans="1:61" s="1770" customFormat="1" ht="25.5" hidden="1" customHeight="1">
      <c r="A31" s="1291"/>
      <c r="B31" s="1291"/>
      <c r="C31" s="1291"/>
      <c r="D31" s="1291"/>
      <c r="E31" s="1291"/>
      <c r="F31" s="1291"/>
      <c r="G31" s="1291"/>
      <c r="H31" s="1291"/>
      <c r="I31" s="1291"/>
      <c r="J31" s="1291"/>
      <c r="K31" s="1291"/>
      <c r="L31" s="1292"/>
      <c r="M31" s="1291"/>
      <c r="N31" s="1291"/>
      <c r="O31" s="1291"/>
      <c r="P31" s="1291"/>
      <c r="Q31" s="1291"/>
      <c r="S31" s="249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498"/>
      <c r="U31" s="1295"/>
      <c r="V31" s="2499" t="str">
        <f>IF(TITLE_NAME_OR_PR_CHANGE="",IF(TITLE_NAME_OR_PR="","",TITLE_NAME_OR_PR),TITLE_NAME_OR_PR_CHANGE)</f>
        <v/>
      </c>
      <c r="W31" s="2499"/>
      <c r="X31" s="2499"/>
      <c r="Y31" s="2499"/>
      <c r="Z31" s="2499"/>
      <c r="AA31" s="2499"/>
      <c r="AB31" s="2499"/>
      <c r="AC31" s="263"/>
      <c r="AD31" s="2499" t="str">
        <f>IF(TITLE_NAME_OR_PR_CHANGE="",IF(TITLE_NAME_OR_PR="","",TITLE_NAME_OR_PR),TITLE_NAME_OR_PR_CHANGE)</f>
        <v/>
      </c>
      <c r="AE31" s="2499"/>
      <c r="AF31" s="2499"/>
      <c r="AG31" s="2499"/>
      <c r="AH31" s="2499"/>
      <c r="AI31" s="2499"/>
      <c r="AJ31" s="2499"/>
      <c r="AK31" s="2499"/>
      <c r="AL31" s="2499"/>
      <c r="AM31" s="2499"/>
      <c r="AN31" s="2499"/>
      <c r="AO31" s="2499"/>
      <c r="AP31" s="2499"/>
      <c r="AQ31" s="2499"/>
      <c r="AR31" s="2499"/>
      <c r="AS31" s="2499"/>
      <c r="AT31" s="2499"/>
      <c r="AU31" s="2499"/>
      <c r="AV31" s="2499"/>
      <c r="AW31" s="2499"/>
      <c r="AX31" s="2499"/>
      <c r="AY31" s="2499"/>
      <c r="AZ31" s="2499"/>
      <c r="BA31" s="263"/>
      <c r="BB31" s="263"/>
      <c r="BC31" s="217"/>
      <c r="BD31" s="304"/>
      <c r="BE31" s="304"/>
      <c r="BF31" s="304"/>
      <c r="BG31" s="304"/>
      <c r="BH31" s="304"/>
      <c r="BI31" s="354">
        <v>0</v>
      </c>
    </row>
    <row r="32" spans="1:61" s="1770" customFormat="1" ht="18.75" hidden="1" customHeight="1">
      <c r="A32" s="1291"/>
      <c r="B32" s="1291"/>
      <c r="C32" s="1291"/>
      <c r="D32" s="1291"/>
      <c r="E32" s="1291"/>
      <c r="F32" s="1291"/>
      <c r="G32" s="1291"/>
      <c r="H32" s="1291"/>
      <c r="I32" s="1291"/>
      <c r="J32" s="1291"/>
      <c r="K32" s="1291"/>
      <c r="L32" s="1292"/>
      <c r="M32" s="1291"/>
      <c r="N32" s="1291"/>
      <c r="O32" s="1291"/>
      <c r="P32" s="1291"/>
      <c r="Q32" s="1291"/>
      <c r="S32" s="2498" t="str">
        <f>"Дата документа об "&amp;IF(TITLE_DATE_PR_CHANGE="","утверждении","изменении")&amp;" тарифов"</f>
        <v>Дата документа об утверждении тарифов</v>
      </c>
      <c r="T32" s="2498"/>
      <c r="U32" s="1295"/>
      <c r="V32" s="2508" t="str">
        <f>IF(TITLE_DATE_PR_CHANGE="",IF(TITLE_DATE_PR="","",TITLE_DATE_PR),TITLE_DATE_PR_CHANGE)</f>
        <v/>
      </c>
      <c r="W32" s="2508"/>
      <c r="X32" s="2508"/>
      <c r="Y32" s="2508"/>
      <c r="Z32" s="2508"/>
      <c r="AA32" s="2508"/>
      <c r="AB32" s="2508"/>
      <c r="AC32" s="263"/>
      <c r="AD32" s="2508" t="str">
        <f>IF(TITLE_DATE_PR_CHANGE="",IF(TITLE_DATE_PR="","",TITLE_DATE_PR),TITLE_DATE_PR_CHANGE)</f>
        <v/>
      </c>
      <c r="AE32" s="2508"/>
      <c r="AF32" s="2508"/>
      <c r="AG32" s="2508"/>
      <c r="AH32" s="2508"/>
      <c r="AI32" s="2508"/>
      <c r="AJ32" s="2508"/>
      <c r="AK32" s="2508"/>
      <c r="AL32" s="2508"/>
      <c r="AM32" s="2508"/>
      <c r="AN32" s="2508"/>
      <c r="AO32" s="2508"/>
      <c r="AP32" s="2508"/>
      <c r="AQ32" s="2508"/>
      <c r="AR32" s="2508"/>
      <c r="AS32" s="2508"/>
      <c r="AT32" s="2508"/>
      <c r="AU32" s="2508"/>
      <c r="AV32" s="2508"/>
      <c r="AW32" s="2508"/>
      <c r="AX32" s="2508"/>
      <c r="AY32" s="2508"/>
      <c r="AZ32" s="2508"/>
      <c r="BA32" s="263"/>
      <c r="BB32" s="263"/>
      <c r="BC32" s="217"/>
      <c r="BD32" s="304"/>
      <c r="BE32" s="304"/>
      <c r="BF32" s="304"/>
      <c r="BG32" s="304"/>
      <c r="BH32" s="304"/>
      <c r="BI32" s="354">
        <v>0</v>
      </c>
    </row>
    <row r="33" spans="1:61" s="1770" customFormat="1" ht="18.75" hidden="1" customHeight="1">
      <c r="A33" s="1291"/>
      <c r="B33" s="1291"/>
      <c r="C33" s="1291"/>
      <c r="D33" s="1291"/>
      <c r="E33" s="1291"/>
      <c r="F33" s="1291"/>
      <c r="G33" s="1291"/>
      <c r="H33" s="1291"/>
      <c r="I33" s="1291"/>
      <c r="J33" s="1291"/>
      <c r="K33" s="1291"/>
      <c r="L33" s="1292"/>
      <c r="M33" s="1291"/>
      <c r="N33" s="1291"/>
      <c r="O33" s="1291"/>
      <c r="P33" s="1291"/>
      <c r="Q33" s="1291"/>
      <c r="S33" s="2498" t="str">
        <f>"Номер документа об "&amp;IF(TITLE_DATE_PR_CHANGE="","утверждении","изменении")&amp;" тарифов"</f>
        <v>Номер документа об утверждении тарифов</v>
      </c>
      <c r="T33" s="2498"/>
      <c r="U33" s="1295"/>
      <c r="V33" s="2499" t="str">
        <f>IF(TITLE_NUMBER_PR_CHANGE="",IF(TITLE_NUMBER_PR="","",TITLE_NUMBER_PR),TITLE_NUMBER_PR_CHANGE)</f>
        <v/>
      </c>
      <c r="W33" s="2499"/>
      <c r="X33" s="2499"/>
      <c r="Y33" s="2499"/>
      <c r="Z33" s="2499"/>
      <c r="AA33" s="2499"/>
      <c r="AB33" s="2499"/>
      <c r="AC33" s="263"/>
      <c r="AD33" s="2499" t="str">
        <f>IF(TITLE_NUMBER_PR_CHANGE="",IF(TITLE_NUMBER_PR="","",TITLE_NUMBER_PR),TITLE_NUMBER_PR_CHANGE)</f>
        <v/>
      </c>
      <c r="AE33" s="2499"/>
      <c r="AF33" s="2499"/>
      <c r="AG33" s="2499"/>
      <c r="AH33" s="2499"/>
      <c r="AI33" s="2499"/>
      <c r="AJ33" s="2499"/>
      <c r="AK33" s="2499"/>
      <c r="AL33" s="2499"/>
      <c r="AM33" s="2499"/>
      <c r="AN33" s="2499"/>
      <c r="AO33" s="2499"/>
      <c r="AP33" s="2499"/>
      <c r="AQ33" s="2499"/>
      <c r="AR33" s="2499"/>
      <c r="AS33" s="2499"/>
      <c r="AT33" s="2499"/>
      <c r="AU33" s="2499"/>
      <c r="AV33" s="2499"/>
      <c r="AW33" s="2499"/>
      <c r="AX33" s="2499"/>
      <c r="AY33" s="2499"/>
      <c r="AZ33" s="2499"/>
      <c r="BA33" s="263"/>
      <c r="BB33" s="263"/>
      <c r="BC33" s="217"/>
      <c r="BD33" s="304"/>
      <c r="BE33" s="304"/>
      <c r="BF33" s="304"/>
      <c r="BG33" s="304"/>
      <c r="BH33" s="304"/>
      <c r="BI33" s="354">
        <v>0</v>
      </c>
    </row>
    <row r="34" spans="1:61" s="1770" customFormat="1" ht="18.75" hidden="1" customHeight="1">
      <c r="A34" s="1291"/>
      <c r="B34" s="1291"/>
      <c r="C34" s="1291"/>
      <c r="D34" s="1291"/>
      <c r="E34" s="1291"/>
      <c r="F34" s="1291"/>
      <c r="G34" s="1291"/>
      <c r="H34" s="1291"/>
      <c r="I34" s="1291"/>
      <c r="J34" s="1291"/>
      <c r="K34" s="1291"/>
      <c r="L34" s="1292"/>
      <c r="M34" s="1291"/>
      <c r="N34" s="1291"/>
      <c r="O34" s="1291"/>
      <c r="P34" s="1291"/>
      <c r="Q34" s="1291"/>
      <c r="S34" s="2498" t="s">
        <v>43</v>
      </c>
      <c r="T34" s="2498"/>
      <c r="U34" s="1295"/>
      <c r="V34" s="2499" t="str">
        <f>IF(TITLE_IST_PUB_CHANGE="",IF(TITLE_IST_PUB="","",TITLE_IST_PUB),TITLE_IST_PUB_CHANGE)</f>
        <v/>
      </c>
      <c r="W34" s="2499"/>
      <c r="X34" s="2499"/>
      <c r="Y34" s="2499"/>
      <c r="Z34" s="2499"/>
      <c r="AA34" s="2499"/>
      <c r="AB34" s="2499"/>
      <c r="AC34" s="263"/>
      <c r="AD34" s="2499" t="str">
        <f>IF(TITLE_IST_PUB_CHANGE="",IF(TITLE_IST_PUB="","",TITLE_IST_PUB),TITLE_IST_PUB_CHANGE)</f>
        <v/>
      </c>
      <c r="AE34" s="2499"/>
      <c r="AF34" s="2499"/>
      <c r="AG34" s="2499"/>
      <c r="AH34" s="2499"/>
      <c r="AI34" s="2499"/>
      <c r="AJ34" s="2499"/>
      <c r="AK34" s="2499"/>
      <c r="AL34" s="2499"/>
      <c r="AM34" s="2499"/>
      <c r="AN34" s="2499"/>
      <c r="AO34" s="2499"/>
      <c r="AP34" s="2499"/>
      <c r="AQ34" s="2499"/>
      <c r="AR34" s="2499"/>
      <c r="AS34" s="2499"/>
      <c r="AT34" s="2499"/>
      <c r="AU34" s="2499"/>
      <c r="AV34" s="2499"/>
      <c r="AW34" s="2499"/>
      <c r="AX34" s="2499"/>
      <c r="AY34" s="2499"/>
      <c r="AZ34" s="2499"/>
      <c r="BA34" s="263"/>
      <c r="BB34" s="263"/>
      <c r="BC34" s="217"/>
      <c r="BD34" s="304"/>
      <c r="BE34" s="304"/>
      <c r="BF34" s="304"/>
      <c r="BG34" s="304"/>
      <c r="BH34" s="304"/>
      <c r="BI34" s="354">
        <v>0</v>
      </c>
    </row>
    <row r="35" spans="1:61" ht="14.25" hidden="1" customHeight="1">
      <c r="Q35" s="228"/>
      <c r="R35" s="312"/>
      <c r="S35" s="1198"/>
      <c r="T35" s="393"/>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78">
        <v>0</v>
      </c>
    </row>
    <row r="36" spans="1:61" s="1770" customFormat="1" ht="18.75" hidden="1" customHeight="1">
      <c r="A36" s="1291"/>
      <c r="B36" s="1291"/>
      <c r="C36" s="1291"/>
      <c r="D36" s="1291"/>
      <c r="E36" s="1291"/>
      <c r="F36" s="1291"/>
      <c r="G36" s="1291"/>
      <c r="H36" s="1291"/>
      <c r="I36" s="1291"/>
      <c r="J36" s="1291"/>
      <c r="K36" s="1291"/>
      <c r="L36" s="1292"/>
      <c r="M36" s="1291"/>
      <c r="N36" s="1291"/>
      <c r="O36" s="1291"/>
      <c r="P36" s="1291"/>
      <c r="Q36" s="1291"/>
      <c r="S36" s="2498" t="str">
        <f>"Дата подачи заявления об "&amp;IF(TITLE_DATE_PR_CHANGE="","утверждении","изменении")&amp;" тарифов"</f>
        <v>Дата подачи заявления об утверждении тарифов</v>
      </c>
      <c r="T36" s="2498"/>
      <c r="U36" s="1295"/>
      <c r="V36" s="2508" t="str">
        <f>IF(TITLE_DATE_PR_CHANGE="",IF(TITLE_DATE_PR="","",TITLE_DATE_PR),TITLE_DATE_PR_CHANGE)</f>
        <v/>
      </c>
      <c r="W36" s="2508"/>
      <c r="X36" s="2508"/>
      <c r="Y36" s="2508"/>
      <c r="Z36" s="2508"/>
      <c r="AA36" s="2508"/>
      <c r="AB36" s="2508"/>
      <c r="AC36" s="263"/>
      <c r="AD36" s="2508" t="str">
        <f>IF(TITLE_DATE_PR_CHANGE="",IF(TITLE_DATE_PR="","",TITLE_DATE_PR),TITLE_DATE_PR_CHANGE)</f>
        <v/>
      </c>
      <c r="AE36" s="2508"/>
      <c r="AF36" s="2508"/>
      <c r="AG36" s="2508"/>
      <c r="AH36" s="2508"/>
      <c r="AI36" s="2508"/>
      <c r="AJ36" s="2508"/>
      <c r="AK36" s="2508"/>
      <c r="AL36" s="2508"/>
      <c r="AM36" s="2508"/>
      <c r="AN36" s="2508"/>
      <c r="AO36" s="2508"/>
      <c r="AP36" s="2508"/>
      <c r="AQ36" s="2508"/>
      <c r="AR36" s="2508"/>
      <c r="AS36" s="2508"/>
      <c r="AT36" s="2508"/>
      <c r="AU36" s="2508"/>
      <c r="AV36" s="2508"/>
      <c r="AW36" s="2508"/>
      <c r="AX36" s="2508"/>
      <c r="AY36" s="2508"/>
      <c r="AZ36" s="2508"/>
      <c r="BA36" s="263"/>
      <c r="BB36" s="263"/>
      <c r="BC36" s="217"/>
      <c r="BD36" s="304"/>
      <c r="BE36" s="304"/>
      <c r="BF36" s="304"/>
      <c r="BG36" s="304"/>
      <c r="BH36" s="304"/>
      <c r="BI36" s="354">
        <v>0</v>
      </c>
    </row>
    <row r="37" spans="1:61" s="1770" customFormat="1" ht="18.75" hidden="1" customHeight="1">
      <c r="A37" s="1291"/>
      <c r="B37" s="1291"/>
      <c r="C37" s="1291"/>
      <c r="D37" s="1291"/>
      <c r="E37" s="1291"/>
      <c r="F37" s="1291"/>
      <c r="G37" s="1291"/>
      <c r="H37" s="1291"/>
      <c r="I37" s="1291"/>
      <c r="J37" s="1291"/>
      <c r="K37" s="1291"/>
      <c r="L37" s="1292"/>
      <c r="M37" s="1291"/>
      <c r="N37" s="1291"/>
      <c r="O37" s="1291"/>
      <c r="P37" s="1291"/>
      <c r="Q37" s="1291"/>
      <c r="S37" s="2498" t="str">
        <f>"Номер подачи заявления об "&amp;IF(TITLE_DATE_PR_CHANGE="","утверждении","изменении")&amp;" тарифов"</f>
        <v>Номер подачи заявления об утверждении тарифов</v>
      </c>
      <c r="T37" s="2498"/>
      <c r="U37" s="1295"/>
      <c r="V37" s="2499" t="str">
        <f>IF(TITLE_NUMBER_PR_CHANGE="",IF(TITLE_NUMBER_PR="","",TITLE_NUMBER_PR),TITLE_NUMBER_PR_CHANGE)</f>
        <v/>
      </c>
      <c r="W37" s="2499"/>
      <c r="X37" s="2499"/>
      <c r="Y37" s="2499"/>
      <c r="Z37" s="2499"/>
      <c r="AA37" s="2499"/>
      <c r="AB37" s="2499"/>
      <c r="AC37" s="263"/>
      <c r="AD37" s="2499" t="str">
        <f>IF(TITLE_NUMBER_PR_CHANGE="",IF(TITLE_NUMBER_PR="","",TITLE_NUMBER_PR),TITLE_NUMBER_PR_CHANGE)</f>
        <v/>
      </c>
      <c r="AE37" s="2499"/>
      <c r="AF37" s="2499"/>
      <c r="AG37" s="2499"/>
      <c r="AH37" s="2499"/>
      <c r="AI37" s="2499"/>
      <c r="AJ37" s="2499"/>
      <c r="AK37" s="2499"/>
      <c r="AL37" s="2499"/>
      <c r="AM37" s="2499"/>
      <c r="AN37" s="2499"/>
      <c r="AO37" s="2499"/>
      <c r="AP37" s="2499"/>
      <c r="AQ37" s="2499"/>
      <c r="AR37" s="2499"/>
      <c r="AS37" s="2499"/>
      <c r="AT37" s="2499"/>
      <c r="AU37" s="2499"/>
      <c r="AV37" s="2499"/>
      <c r="AW37" s="2499"/>
      <c r="AX37" s="2499"/>
      <c r="AY37" s="2499"/>
      <c r="AZ37" s="2499"/>
      <c r="BA37" s="263"/>
      <c r="BB37" s="263"/>
      <c r="BC37" s="217"/>
      <c r="BD37" s="304"/>
      <c r="BE37" s="304"/>
      <c r="BF37" s="304"/>
      <c r="BG37" s="304"/>
      <c r="BH37" s="304"/>
      <c r="BI37" s="354">
        <v>0</v>
      </c>
    </row>
    <row r="38" spans="1:61" s="1770" customFormat="1" ht="0" hidden="1" customHeight="1">
      <c r="A38" s="1291"/>
      <c r="B38" s="1291"/>
      <c r="C38" s="1291"/>
      <c r="D38" s="1291"/>
      <c r="E38" s="1291"/>
      <c r="F38" s="1291"/>
      <c r="G38" s="1291"/>
      <c r="H38" s="1291"/>
      <c r="I38" s="1291"/>
      <c r="J38" s="1291"/>
      <c r="K38" s="1291"/>
      <c r="L38" s="1292"/>
      <c r="M38" s="1291"/>
      <c r="N38" s="1291"/>
      <c r="O38" s="1291"/>
      <c r="P38" s="1291"/>
      <c r="Q38" s="1291"/>
      <c r="S38" s="260"/>
      <c r="T38" s="260"/>
      <c r="U38" s="1411"/>
      <c r="V38" s="263"/>
      <c r="W38" s="263"/>
      <c r="X38" s="263"/>
      <c r="Y38" s="263"/>
      <c r="Z38" s="263"/>
      <c r="AA38" s="263"/>
      <c r="AB38" s="263"/>
      <c r="AC38" s="215" t="s">
        <v>442</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442</v>
      </c>
      <c r="BD38" s="304"/>
      <c r="BE38" s="304"/>
      <c r="BF38" s="304"/>
      <c r="BG38" s="304"/>
      <c r="BH38" s="304"/>
      <c r="BI38" s="354">
        <v>0</v>
      </c>
    </row>
    <row r="39" spans="1:61" ht="14.65" customHeight="1">
      <c r="Q39" s="228"/>
      <c r="R39" s="312"/>
      <c r="S39" s="1198"/>
      <c r="T39" s="299"/>
      <c r="U39" s="1167"/>
      <c r="V39" s="2500"/>
      <c r="W39" s="2500"/>
      <c r="X39" s="2500"/>
      <c r="Y39" s="2500"/>
      <c r="Z39" s="2500"/>
      <c r="AA39" s="2500"/>
      <c r="AB39" s="2500"/>
      <c r="AC39" s="2500"/>
      <c r="AD39" s="2500"/>
      <c r="AE39" s="2500"/>
      <c r="AF39" s="2500"/>
      <c r="AG39" s="2500"/>
      <c r="AH39" s="2500"/>
      <c r="AI39" s="2500"/>
      <c r="AJ39" s="2500"/>
      <c r="AK39" s="2500"/>
      <c r="AL39" s="2500"/>
      <c r="AM39" s="2500"/>
      <c r="AN39" s="2500"/>
      <c r="AO39" s="2500"/>
      <c r="AP39" s="2500"/>
      <c r="AQ39" s="2500"/>
      <c r="AR39" s="2500"/>
      <c r="AS39" s="2500"/>
      <c r="AT39" s="2500"/>
      <c r="AU39" s="2500"/>
      <c r="AV39" s="2500"/>
      <c r="AW39" s="2500"/>
      <c r="AX39" s="2500"/>
      <c r="AY39" s="2500"/>
      <c r="AZ39" s="2500"/>
      <c r="BA39" s="2500"/>
      <c r="BI39" s="1078">
        <v>14</v>
      </c>
    </row>
    <row r="40" spans="1:61" ht="14.65" customHeight="1">
      <c r="Q40" s="228"/>
      <c r="R40" s="312"/>
      <c r="S40" s="2371" t="s">
        <v>319</v>
      </c>
      <c r="T40" s="2371"/>
      <c r="U40" s="2371"/>
      <c r="V40" s="2371"/>
      <c r="W40" s="2371"/>
      <c r="X40" s="2371"/>
      <c r="Y40" s="2371"/>
      <c r="Z40" s="2371"/>
      <c r="AA40" s="2371"/>
      <c r="AB40" s="2371"/>
      <c r="AC40" s="2371"/>
      <c r="AD40" s="2371"/>
      <c r="AE40" s="2371"/>
      <c r="AF40" s="2371"/>
      <c r="AG40" s="2371"/>
      <c r="AH40" s="2371"/>
      <c r="AI40" s="2371"/>
      <c r="AJ40" s="2371"/>
      <c r="AK40" s="2371"/>
      <c r="AL40" s="2371"/>
      <c r="AM40" s="2371"/>
      <c r="AN40" s="2371"/>
      <c r="AO40" s="2371"/>
      <c r="AP40" s="2371"/>
      <c r="AQ40" s="2371"/>
      <c r="AR40" s="2371"/>
      <c r="AS40" s="2371"/>
      <c r="AT40" s="2371"/>
      <c r="AU40" s="2371"/>
      <c r="AV40" s="2371"/>
      <c r="AW40" s="2371"/>
      <c r="AX40" s="2371"/>
      <c r="AY40" s="2371"/>
      <c r="AZ40" s="2371"/>
      <c r="BA40" s="2371"/>
      <c r="BB40" s="2371"/>
      <c r="BC40" s="2371" t="s">
        <v>320</v>
      </c>
      <c r="BI40" s="1078">
        <v>14</v>
      </c>
    </row>
    <row r="41" spans="1:61" ht="14.65" customHeight="1">
      <c r="Q41" s="228"/>
      <c r="R41" s="312"/>
      <c r="S41" s="2514" t="s">
        <v>89</v>
      </c>
      <c r="T41" s="2466" t="s">
        <v>524</v>
      </c>
      <c r="U41" s="238"/>
      <c r="V41" s="2515" t="s">
        <v>444</v>
      </c>
      <c r="W41" s="2516"/>
      <c r="X41" s="2516"/>
      <c r="Y41" s="2516"/>
      <c r="Z41" s="2516"/>
      <c r="AA41" s="2516"/>
      <c r="AB41" s="2517"/>
      <c r="AC41" s="2518" t="s">
        <v>445</v>
      </c>
      <c r="AD41" s="2551" t="s">
        <v>525</v>
      </c>
      <c r="AE41" s="2532"/>
      <c r="AF41" s="2532"/>
      <c r="AG41" s="2552"/>
      <c r="AH41" s="2551" t="s">
        <v>526</v>
      </c>
      <c r="AI41" s="2532"/>
      <c r="AJ41" s="2532"/>
      <c r="AK41" s="2552"/>
      <c r="AL41" s="2551" t="s">
        <v>527</v>
      </c>
      <c r="AM41" s="2532"/>
      <c r="AN41" s="2532"/>
      <c r="AO41" s="2552"/>
      <c r="AP41" s="2551" t="s">
        <v>528</v>
      </c>
      <c r="AQ41" s="2532"/>
      <c r="AR41" s="2532"/>
      <c r="AS41" s="2552"/>
      <c r="AT41" s="2515" t="s">
        <v>444</v>
      </c>
      <c r="AU41" s="2516"/>
      <c r="AV41" s="2516"/>
      <c r="AW41" s="2516"/>
      <c r="AX41" s="2516"/>
      <c r="AY41" s="2516"/>
      <c r="AZ41" s="2517"/>
      <c r="BA41" s="2518" t="s">
        <v>445</v>
      </c>
      <c r="BB41" s="2521" t="s">
        <v>447</v>
      </c>
      <c r="BC41" s="2371"/>
      <c r="BI41" s="1078">
        <v>14</v>
      </c>
    </row>
    <row r="42" spans="1:61" ht="35.65" customHeight="1">
      <c r="Q42" s="228"/>
      <c r="R42" s="312"/>
      <c r="S42" s="2514"/>
      <c r="T42" s="2466"/>
      <c r="U42" s="958"/>
      <c r="V42" s="2452" t="s">
        <v>529</v>
      </c>
      <c r="W42" s="2453"/>
      <c r="X42" s="2452" t="s">
        <v>530</v>
      </c>
      <c r="Y42" s="2453"/>
      <c r="Z42" s="2452" t="s">
        <v>531</v>
      </c>
      <c r="AA42" s="2546"/>
      <c r="AB42" s="2453"/>
      <c r="AC42" s="2519"/>
      <c r="AD42" s="2553"/>
      <c r="AE42" s="2554"/>
      <c r="AF42" s="2554"/>
      <c r="AG42" s="2555"/>
      <c r="AH42" s="2553"/>
      <c r="AI42" s="2554"/>
      <c r="AJ42" s="2554"/>
      <c r="AK42" s="2555"/>
      <c r="AL42" s="2553"/>
      <c r="AM42" s="2554"/>
      <c r="AN42" s="2554"/>
      <c r="AO42" s="2555"/>
      <c r="AP42" s="2553"/>
      <c r="AQ42" s="2554"/>
      <c r="AR42" s="2554"/>
      <c r="AS42" s="2555"/>
      <c r="AT42" s="2452" t="s">
        <v>529</v>
      </c>
      <c r="AU42" s="2453"/>
      <c r="AV42" s="2452" t="s">
        <v>530</v>
      </c>
      <c r="AW42" s="2453"/>
      <c r="AX42" s="2452" t="s">
        <v>531</v>
      </c>
      <c r="AY42" s="2546"/>
      <c r="AZ42" s="2453"/>
      <c r="BA42" s="2519"/>
      <c r="BB42" s="2522"/>
      <c r="BC42" s="2371"/>
      <c r="BI42" s="1078">
        <v>34</v>
      </c>
    </row>
    <row r="43" spans="1:61" ht="14.65" customHeight="1">
      <c r="Q43" s="228"/>
      <c r="R43" s="312"/>
      <c r="S43" s="2514"/>
      <c r="T43" s="2466"/>
      <c r="U43" s="958"/>
      <c r="V43" s="2457"/>
      <c r="W43" s="2458"/>
      <c r="X43" s="2457"/>
      <c r="Y43" s="2458"/>
      <c r="Z43" s="2457"/>
      <c r="AA43" s="2547"/>
      <c r="AB43" s="2458"/>
      <c r="AC43" s="2519"/>
      <c r="AD43" s="2553"/>
      <c r="AE43" s="2554"/>
      <c r="AF43" s="2554"/>
      <c r="AG43" s="2555"/>
      <c r="AH43" s="2553"/>
      <c r="AI43" s="2554"/>
      <c r="AJ43" s="2554"/>
      <c r="AK43" s="2555"/>
      <c r="AL43" s="2553"/>
      <c r="AM43" s="2554"/>
      <c r="AN43" s="2554"/>
      <c r="AO43" s="2555"/>
      <c r="AP43" s="2553"/>
      <c r="AQ43" s="2554"/>
      <c r="AR43" s="2554"/>
      <c r="AS43" s="2555"/>
      <c r="AT43" s="2457"/>
      <c r="AU43" s="2458"/>
      <c r="AV43" s="2457"/>
      <c r="AW43" s="2458"/>
      <c r="AX43" s="2457"/>
      <c r="AY43" s="2547"/>
      <c r="AZ43" s="2458"/>
      <c r="BA43" s="2519"/>
      <c r="BB43" s="2522"/>
      <c r="BC43" s="2371"/>
      <c r="BI43" s="1078">
        <v>14</v>
      </c>
    </row>
    <row r="44" spans="1:61" ht="14.65" customHeight="1">
      <c r="A44" s="1293"/>
      <c r="B44" s="1293" t="s">
        <v>156</v>
      </c>
      <c r="C44" s="1293" t="s">
        <v>157</v>
      </c>
      <c r="D44" s="1293" t="s">
        <v>158</v>
      </c>
      <c r="E44" s="1287" t="s">
        <v>452</v>
      </c>
      <c r="F44" s="1287" t="s">
        <v>453</v>
      </c>
      <c r="G44" s="1287" t="s">
        <v>454</v>
      </c>
      <c r="H44" s="1287" t="s">
        <v>455</v>
      </c>
      <c r="I44" s="1287" t="s">
        <v>456</v>
      </c>
      <c r="J44" s="1287" t="s">
        <v>457</v>
      </c>
      <c r="K44" s="1287" t="s">
        <v>458</v>
      </c>
      <c r="L44" s="1287" t="s">
        <v>437</v>
      </c>
      <c r="Q44" s="228"/>
      <c r="R44" s="312"/>
      <c r="S44" s="2514"/>
      <c r="T44" s="2466"/>
      <c r="U44" s="239"/>
      <c r="V44" s="1402" t="s">
        <v>493</v>
      </c>
      <c r="W44" s="1402" t="s">
        <v>494</v>
      </c>
      <c r="X44" s="1402" t="s">
        <v>493</v>
      </c>
      <c r="Y44" s="1402" t="s">
        <v>494</v>
      </c>
      <c r="Z44" s="1412" t="s">
        <v>461</v>
      </c>
      <c r="AA44" s="2474" t="s">
        <v>462</v>
      </c>
      <c r="AB44" s="2476"/>
      <c r="AC44" s="2520"/>
      <c r="AD44" s="2556"/>
      <c r="AE44" s="2557"/>
      <c r="AF44" s="2557"/>
      <c r="AG44" s="2558"/>
      <c r="AH44" s="2556"/>
      <c r="AI44" s="2557"/>
      <c r="AJ44" s="2557"/>
      <c r="AK44" s="2558"/>
      <c r="AL44" s="2556"/>
      <c r="AM44" s="2557"/>
      <c r="AN44" s="2557"/>
      <c r="AO44" s="2558"/>
      <c r="AP44" s="2556"/>
      <c r="AQ44" s="2557"/>
      <c r="AR44" s="2557"/>
      <c r="AS44" s="2558"/>
      <c r="AT44" s="1402" t="s">
        <v>493</v>
      </c>
      <c r="AU44" s="1402" t="s">
        <v>494</v>
      </c>
      <c r="AV44" s="1402" t="s">
        <v>493</v>
      </c>
      <c r="AW44" s="1402" t="s">
        <v>494</v>
      </c>
      <c r="AX44" s="1412" t="s">
        <v>461</v>
      </c>
      <c r="AY44" s="2474" t="s">
        <v>462</v>
      </c>
      <c r="AZ44" s="2476"/>
      <c r="BA44" s="2520"/>
      <c r="BB44" s="2523"/>
      <c r="BC44" s="2371"/>
      <c r="BI44" s="1078">
        <v>14</v>
      </c>
    </row>
    <row r="45" spans="1:61" s="1564" customFormat="1" ht="0" hidden="1" customHeight="1">
      <c r="A45" s="1293"/>
      <c r="B45" s="1293"/>
      <c r="C45" s="1293"/>
      <c r="D45" s="1293"/>
      <c r="E45" s="1293"/>
      <c r="F45" s="1293"/>
      <c r="G45" s="1293"/>
      <c r="H45" s="1293"/>
      <c r="I45" s="1293"/>
      <c r="J45" s="1293"/>
      <c r="K45" s="1293"/>
      <c r="L45" s="1287"/>
      <c r="M45" s="1285"/>
      <c r="N45" s="1285"/>
      <c r="O45" s="1285"/>
      <c r="P45" s="446"/>
      <c r="Q45" s="1177"/>
      <c r="R45" s="1177">
        <v>1</v>
      </c>
      <c r="S45" s="1200" t="s">
        <v>100</v>
      </c>
      <c r="T45" s="1178" t="s">
        <v>103</v>
      </c>
      <c r="U45" s="1168" t="str">
        <f ca="1">OFFSET(U45,0,-1)</f>
        <v>2</v>
      </c>
      <c r="V45" s="1405">
        <f t="shared" ref="V45:AA45" ca="1" si="2">OFFSET(V45,0,-1)+1</f>
        <v>3</v>
      </c>
      <c r="W45" s="1405">
        <f t="shared" ca="1" si="2"/>
        <v>4</v>
      </c>
      <c r="X45" s="1405">
        <f t="shared" ca="1" si="2"/>
        <v>5</v>
      </c>
      <c r="Y45" s="1405">
        <f t="shared" ca="1" si="2"/>
        <v>6</v>
      </c>
      <c r="Z45" s="1405">
        <f t="shared" ca="1" si="2"/>
        <v>7</v>
      </c>
      <c r="AA45" s="2513">
        <f t="shared" ca="1" si="2"/>
        <v>8</v>
      </c>
      <c r="AB45" s="2513"/>
      <c r="AC45" s="1405">
        <f ca="1">OFFSET(AC45,0,-2)+1</f>
        <v>9</v>
      </c>
      <c r="AD45" s="1405">
        <f ca="1">OFFSET(AD45,0,-1)+1</f>
        <v>10</v>
      </c>
      <c r="AE45" s="1405"/>
      <c r="AF45" s="1405"/>
      <c r="AG45" s="1405"/>
      <c r="AH45" s="1405"/>
      <c r="AI45" s="1405"/>
      <c r="AJ45" s="1405"/>
      <c r="AK45" s="1405"/>
      <c r="AL45" s="1405"/>
      <c r="AM45" s="1405"/>
      <c r="AN45" s="1405"/>
      <c r="AO45" s="1405"/>
      <c r="AP45" s="1405"/>
      <c r="AQ45" s="1405"/>
      <c r="AR45" s="1405"/>
      <c r="AS45" s="1405"/>
      <c r="AT45" s="1405"/>
      <c r="AU45" s="1405"/>
      <c r="AV45" s="1405"/>
      <c r="AW45" s="1405">
        <f ca="1">OFFSET(AW45,0,-1)+1</f>
        <v>1</v>
      </c>
      <c r="AX45" s="1405">
        <f ca="1">OFFSET(AX45,0,-1)+1</f>
        <v>2</v>
      </c>
      <c r="AY45" s="2513">
        <f ca="1">OFFSET(AY45,0,-1)+1</f>
        <v>3</v>
      </c>
      <c r="AZ45" s="2513"/>
      <c r="BA45" s="1405">
        <f ca="1">OFFSET(BA45,0,-2)+1</f>
        <v>4</v>
      </c>
      <c r="BB45" s="1168">
        <f ca="1">OFFSET(BB45,0,-1)</f>
        <v>4</v>
      </c>
      <c r="BC45" s="1405">
        <f ca="1">OFFSET(BC45,0,-1)+1</f>
        <v>5</v>
      </c>
      <c r="BD45" s="447"/>
      <c r="BE45" s="447"/>
      <c r="BF45" s="447"/>
      <c r="BG45" s="447"/>
      <c r="BH45" s="447"/>
      <c r="BI45" s="432">
        <v>0</v>
      </c>
    </row>
    <row r="46" spans="1:61" ht="21.95" customHeight="1">
      <c r="A46" s="1286" t="s">
        <v>280</v>
      </c>
      <c r="B46" s="1286"/>
      <c r="C46" s="1286"/>
      <c r="D46" s="1286"/>
      <c r="E46" s="2506">
        <v>1</v>
      </c>
      <c r="F46" s="1286"/>
      <c r="G46" s="1286"/>
      <c r="H46" s="1286"/>
      <c r="I46" s="1286"/>
      <c r="J46" s="1286"/>
      <c r="K46" s="1286"/>
      <c r="L46" s="1287"/>
      <c r="M46" s="1288"/>
      <c r="N46" s="1288"/>
      <c r="O46" s="1288"/>
      <c r="P46" s="1332"/>
      <c r="Q46" s="802"/>
      <c r="R46" s="291"/>
      <c r="S46" s="1416">
        <f>INDEX(PT_DIFFERENTIATION_NUM_NTAR,MATCH(A46,PT_DIFFERENTIATION_NTAR_ID,0))</f>
        <v>0</v>
      </c>
      <c r="T46" s="235" t="s">
        <v>144</v>
      </c>
      <c r="U46" s="237"/>
      <c r="V46" s="2493"/>
      <c r="W46" s="2493"/>
      <c r="X46" s="2493"/>
      <c r="Y46" s="2493"/>
      <c r="Z46" s="2493"/>
      <c r="AA46" s="2493"/>
      <c r="AB46" s="2493"/>
      <c r="AC46" s="2494"/>
      <c r="AD46" s="2492" t="str">
        <f>INDEX(PT_DIFFERENTIATION_NTAR,MATCH(A46,PT_DIFFERENTIATION_NTAR_ID,0))</f>
        <v/>
      </c>
      <c r="AE46" s="2493"/>
      <c r="AF46" s="2493"/>
      <c r="AG46" s="2493"/>
      <c r="AH46" s="2493"/>
      <c r="AI46" s="2493"/>
      <c r="AJ46" s="2493"/>
      <c r="AK46" s="2493"/>
      <c r="AL46" s="2493"/>
      <c r="AM46" s="2493"/>
      <c r="AN46" s="2493"/>
      <c r="AO46" s="2493"/>
      <c r="AP46" s="2493"/>
      <c r="AQ46" s="2493"/>
      <c r="AR46" s="2493"/>
      <c r="AS46" s="2493"/>
      <c r="AT46" s="2493"/>
      <c r="AU46" s="2493"/>
      <c r="AV46" s="2493"/>
      <c r="AW46" s="2493"/>
      <c r="AX46" s="2493"/>
      <c r="AY46" s="2493"/>
      <c r="AZ46" s="2493"/>
      <c r="BA46" s="2493"/>
      <c r="BB46" s="2494"/>
      <c r="BC46"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78">
        <v>21</v>
      </c>
    </row>
    <row r="47" spans="1:61" ht="21.95" customHeight="1">
      <c r="A47" s="1286" t="s">
        <v>280</v>
      </c>
      <c r="B47" s="1286" t="s">
        <v>281</v>
      </c>
      <c r="C47" s="1286"/>
      <c r="D47" s="1286"/>
      <c r="E47" s="2507"/>
      <c r="F47" s="2506">
        <v>1</v>
      </c>
      <c r="G47" s="1286"/>
      <c r="H47" s="1286"/>
      <c r="I47" s="1286"/>
      <c r="J47" s="1286"/>
      <c r="K47" s="1286"/>
      <c r="L47" s="1287"/>
      <c r="M47" s="1288"/>
      <c r="N47" s="1288"/>
      <c r="O47" s="1288"/>
      <c r="P47" s="1333"/>
      <c r="Q47" s="1334"/>
      <c r="R47" s="289"/>
      <c r="S47" s="1416" t="str">
        <f>INDEX(PT_DIFFERENTIATION_NUM_TER,MATCH(B47,PT_DIFFERENTIATION_TER_ID,0))</f>
        <v>.</v>
      </c>
      <c r="T47" s="245" t="s">
        <v>416</v>
      </c>
      <c r="U47" s="237"/>
      <c r="V47" s="2493"/>
      <c r="W47" s="2493"/>
      <c r="X47" s="2493"/>
      <c r="Y47" s="2493"/>
      <c r="Z47" s="2493"/>
      <c r="AA47" s="2493"/>
      <c r="AB47" s="2493"/>
      <c r="AC47" s="2494"/>
      <c r="AD47" s="2492" t="str">
        <f>INDEX(PT_DIFFERENTIATION_TER,MATCH(B47,PT_DIFFERENTIATION_TER_ID,0))</f>
        <v/>
      </c>
      <c r="AE47" s="2493"/>
      <c r="AF47" s="2493"/>
      <c r="AG47" s="2493"/>
      <c r="AH47" s="2493"/>
      <c r="AI47" s="2493"/>
      <c r="AJ47" s="2493"/>
      <c r="AK47" s="2493"/>
      <c r="AL47" s="2493"/>
      <c r="AM47" s="2493"/>
      <c r="AN47" s="2493"/>
      <c r="AO47" s="2493"/>
      <c r="AP47" s="2493"/>
      <c r="AQ47" s="2493"/>
      <c r="AR47" s="2493"/>
      <c r="AS47" s="2493"/>
      <c r="AT47" s="2493"/>
      <c r="AU47" s="2493"/>
      <c r="AV47" s="2493"/>
      <c r="AW47" s="2493"/>
      <c r="AX47" s="2493"/>
      <c r="AY47" s="2493"/>
      <c r="AZ47" s="2493"/>
      <c r="BA47" s="2493"/>
      <c r="BB47" s="2494"/>
      <c r="BC47" s="1181" t="s">
        <v>417</v>
      </c>
      <c r="BE47" s="436"/>
      <c r="BF47" s="436" t="str">
        <f t="shared" si="3"/>
        <v>Территория действия тарифа</v>
      </c>
      <c r="BG47" s="436"/>
      <c r="BH47" s="436"/>
      <c r="BI47" s="1078">
        <v>21</v>
      </c>
    </row>
    <row r="48" spans="1:61" ht="35.65" customHeight="1">
      <c r="A48" s="1286" t="s">
        <v>280</v>
      </c>
      <c r="B48" s="1286" t="s">
        <v>281</v>
      </c>
      <c r="C48" s="1286" t="s">
        <v>282</v>
      </c>
      <c r="D48" s="1286"/>
      <c r="E48" s="2507"/>
      <c r="F48" s="2507"/>
      <c r="G48" s="2506">
        <v>1</v>
      </c>
      <c r="H48" s="1286"/>
      <c r="I48" s="1286"/>
      <c r="J48" s="1286"/>
      <c r="K48" s="1286"/>
      <c r="L48" s="1287"/>
      <c r="M48" s="1288"/>
      <c r="N48" s="1288"/>
      <c r="O48" s="1288"/>
      <c r="P48" s="1335"/>
      <c r="Q48" s="1334"/>
      <c r="R48" s="289"/>
      <c r="S48" s="1416" t="str">
        <f>INDEX(PT_DIFFERENTIATION_NUM_CS,MATCH(C48,PT_DIFFERENTIATION_CS_ID,0))</f>
        <v>..</v>
      </c>
      <c r="T48" s="246" t="s">
        <v>547</v>
      </c>
      <c r="U48" s="237"/>
      <c r="V48" s="2493"/>
      <c r="W48" s="2493"/>
      <c r="X48" s="2493"/>
      <c r="Y48" s="2493"/>
      <c r="Z48" s="2493"/>
      <c r="AA48" s="2493"/>
      <c r="AB48" s="2493"/>
      <c r="AC48" s="2494"/>
      <c r="AD48" s="2492" t="str">
        <f>INDEX(PT_DIFFERENTIATION_CS,MATCH(C48,PT_DIFFERENTIATION_CS_ID,0))</f>
        <v/>
      </c>
      <c r="AE48" s="2493"/>
      <c r="AF48" s="2493"/>
      <c r="AG48" s="2493"/>
      <c r="AH48" s="2493"/>
      <c r="AI48" s="2493"/>
      <c r="AJ48" s="2493"/>
      <c r="AK48" s="2493"/>
      <c r="AL48" s="2493"/>
      <c r="AM48" s="2493"/>
      <c r="AN48" s="2493"/>
      <c r="AO48" s="2493"/>
      <c r="AP48" s="2493"/>
      <c r="AQ48" s="2493"/>
      <c r="AR48" s="2493"/>
      <c r="AS48" s="2493"/>
      <c r="AT48" s="2493"/>
      <c r="AU48" s="2493"/>
      <c r="AV48" s="2493"/>
      <c r="AW48" s="2493"/>
      <c r="AX48" s="2493"/>
      <c r="AY48" s="2493"/>
      <c r="AZ48" s="2493"/>
      <c r="BA48" s="2493"/>
      <c r="BB48" s="2494"/>
      <c r="BC48" s="1181" t="s">
        <v>548</v>
      </c>
      <c r="BE48" s="436"/>
      <c r="BF48" s="436" t="str">
        <f t="shared" si="3"/>
        <v>Наименование централизованной системы горячего водоснабжения</v>
      </c>
      <c r="BG48" s="436"/>
      <c r="BH48" s="436"/>
      <c r="BI48" s="1078">
        <v>34</v>
      </c>
    </row>
    <row r="49" spans="1:61" s="1565" customFormat="1" ht="0" hidden="1" customHeight="1">
      <c r="A49" s="1266" t="s">
        <v>280</v>
      </c>
      <c r="B49" s="1266" t="s">
        <v>281</v>
      </c>
      <c r="C49" s="1266" t="s">
        <v>282</v>
      </c>
      <c r="D49" s="1266" t="s">
        <v>561</v>
      </c>
      <c r="E49" s="2507"/>
      <c r="F49" s="2507"/>
      <c r="G49" s="2507"/>
      <c r="H49" s="2506">
        <v>1</v>
      </c>
      <c r="I49" s="1266"/>
      <c r="J49" s="1266"/>
      <c r="K49" s="1266"/>
      <c r="L49" s="1269"/>
      <c r="M49" s="1238"/>
      <c r="N49" s="1238"/>
      <c r="O49" s="1238"/>
      <c r="P49" s="1420"/>
      <c r="Q49" s="1421"/>
      <c r="R49" s="293"/>
      <c r="S49" s="969"/>
      <c r="T49" s="1422"/>
      <c r="U49" s="1307"/>
      <c r="V49" s="2536"/>
      <c r="W49" s="2536"/>
      <c r="X49" s="2536"/>
      <c r="Y49" s="2536"/>
      <c r="Z49" s="2536"/>
      <c r="AA49" s="2536"/>
      <c r="AB49" s="2536"/>
      <c r="AC49" s="2537"/>
      <c r="AD49" s="2535"/>
      <c r="AE49" s="2536"/>
      <c r="AF49" s="2536"/>
      <c r="AG49" s="2536"/>
      <c r="AH49" s="2536"/>
      <c r="AI49" s="2536"/>
      <c r="AJ49" s="2536"/>
      <c r="AK49" s="2536"/>
      <c r="AL49" s="2536"/>
      <c r="AM49" s="2536"/>
      <c r="AN49" s="2536"/>
      <c r="AO49" s="2536"/>
      <c r="AP49" s="2536"/>
      <c r="AQ49" s="2536"/>
      <c r="AR49" s="2536"/>
      <c r="AS49" s="2536"/>
      <c r="AT49" s="2536"/>
      <c r="AU49" s="2536"/>
      <c r="AV49" s="2536"/>
      <c r="AW49" s="2536"/>
      <c r="AX49" s="2536"/>
      <c r="AY49" s="2536"/>
      <c r="AZ49" s="2536"/>
      <c r="BA49" s="2536"/>
      <c r="BB49" s="2537"/>
      <c r="BC49" s="1308" t="s">
        <v>421</v>
      </c>
      <c r="BE49" s="436"/>
      <c r="BF49" s="436" t="str">
        <f t="shared" si="3"/>
        <v/>
      </c>
      <c r="BG49" s="436"/>
      <c r="BH49" s="436"/>
      <c r="BI49" s="447">
        <v>0</v>
      </c>
    </row>
    <row r="50" spans="1:61" s="1565" customFormat="1" ht="0" hidden="1" customHeight="1">
      <c r="A50" s="1266" t="s">
        <v>280</v>
      </c>
      <c r="B50" s="1266" t="s">
        <v>281</v>
      </c>
      <c r="C50" s="1266" t="s">
        <v>282</v>
      </c>
      <c r="D50" s="1266" t="s">
        <v>561</v>
      </c>
      <c r="E50" s="2507"/>
      <c r="F50" s="2507"/>
      <c r="G50" s="2507"/>
      <c r="H50" s="2507"/>
      <c r="I50" s="2504" t="str">
        <f>S49&amp;".1"</f>
        <v>.1</v>
      </c>
      <c r="J50" s="1266"/>
      <c r="K50" s="1266"/>
      <c r="L50" s="1269" t="s">
        <v>422</v>
      </c>
      <c r="M50" s="446"/>
      <c r="N50" s="446"/>
      <c r="O50" s="446"/>
      <c r="P50" s="2505">
        <v>1</v>
      </c>
      <c r="Q50" s="1404"/>
      <c r="R50" s="292"/>
      <c r="S50" s="969"/>
      <c r="T50" s="1306"/>
      <c r="U50" s="1307"/>
      <c r="V50" s="2536"/>
      <c r="W50" s="2536"/>
      <c r="X50" s="2536"/>
      <c r="Y50" s="2536"/>
      <c r="Z50" s="2536"/>
      <c r="AA50" s="2536"/>
      <c r="AB50" s="2536"/>
      <c r="AC50" s="2537"/>
      <c r="AD50" s="2535"/>
      <c r="AE50" s="2536"/>
      <c r="AF50" s="2536"/>
      <c r="AG50" s="2536"/>
      <c r="AH50" s="2536"/>
      <c r="AI50" s="2536"/>
      <c r="AJ50" s="2536"/>
      <c r="AK50" s="2536"/>
      <c r="AL50" s="2536"/>
      <c r="AM50" s="2536"/>
      <c r="AN50" s="2536"/>
      <c r="AO50" s="2536"/>
      <c r="AP50" s="2536"/>
      <c r="AQ50" s="2536"/>
      <c r="AR50" s="2536"/>
      <c r="AS50" s="2536"/>
      <c r="AT50" s="2536"/>
      <c r="AU50" s="2536"/>
      <c r="AV50" s="2536"/>
      <c r="AW50" s="2536"/>
      <c r="AX50" s="2536"/>
      <c r="AY50" s="2536"/>
      <c r="AZ50" s="2536"/>
      <c r="BA50" s="2536"/>
      <c r="BB50" s="2537"/>
      <c r="BC50" s="1308"/>
      <c r="BE50" s="436"/>
      <c r="BF50" s="436" t="str">
        <f t="shared" si="3"/>
        <v/>
      </c>
      <c r="BG50" s="436"/>
      <c r="BH50" s="436"/>
      <c r="BI50" s="447">
        <v>0</v>
      </c>
    </row>
    <row r="51" spans="1:61" s="1565" customFormat="1" ht="0" hidden="1" customHeight="1">
      <c r="A51" s="1266" t="s">
        <v>280</v>
      </c>
      <c r="B51" s="1266" t="s">
        <v>281</v>
      </c>
      <c r="C51" s="1266" t="s">
        <v>282</v>
      </c>
      <c r="D51" s="1266" t="s">
        <v>561</v>
      </c>
      <c r="E51" s="2507"/>
      <c r="F51" s="2507"/>
      <c r="G51" s="2507"/>
      <c r="H51" s="2507"/>
      <c r="I51" s="2527"/>
      <c r="J51" s="2504" t="str">
        <f>S49&amp;".1"</f>
        <v>.1</v>
      </c>
      <c r="K51" s="1266"/>
      <c r="L51" s="1269"/>
      <c r="M51" s="446"/>
      <c r="N51" s="446"/>
      <c r="O51" s="446"/>
      <c r="P51" s="2505"/>
      <c r="Q51" s="2505">
        <v>1</v>
      </c>
      <c r="R51" s="293"/>
      <c r="S51" s="969"/>
      <c r="T51" s="1322"/>
      <c r="U51" s="1307"/>
      <c r="V51" s="2536"/>
      <c r="W51" s="2536"/>
      <c r="X51" s="2536"/>
      <c r="Y51" s="2536"/>
      <c r="Z51" s="2536"/>
      <c r="AA51" s="2536"/>
      <c r="AB51" s="2536"/>
      <c r="AC51" s="2537"/>
      <c r="AD51" s="2535"/>
      <c r="AE51" s="2536"/>
      <c r="AF51" s="2536"/>
      <c r="AG51" s="2536"/>
      <c r="AH51" s="2536"/>
      <c r="AI51" s="2536"/>
      <c r="AJ51" s="2536"/>
      <c r="AK51" s="2536"/>
      <c r="AL51" s="2536"/>
      <c r="AM51" s="2536"/>
      <c r="AN51" s="2589"/>
      <c r="AO51" s="2589"/>
      <c r="AP51" s="2536"/>
      <c r="AQ51" s="2536"/>
      <c r="AR51" s="2536"/>
      <c r="AS51" s="2536"/>
      <c r="AT51" s="2536"/>
      <c r="AU51" s="2536"/>
      <c r="AV51" s="2536"/>
      <c r="AW51" s="2536"/>
      <c r="AX51" s="2536"/>
      <c r="AY51" s="2536"/>
      <c r="AZ51" s="2536"/>
      <c r="BA51" s="2536"/>
      <c r="BB51" s="2537"/>
      <c r="BC51" s="1308"/>
      <c r="BE51" s="436"/>
      <c r="BF51" s="436" t="str">
        <f t="shared" si="3"/>
        <v/>
      </c>
      <c r="BG51" s="436"/>
      <c r="BH51" s="436"/>
      <c r="BI51" s="447">
        <v>0</v>
      </c>
    </row>
    <row r="52" spans="1:61" ht="11.45" customHeight="1">
      <c r="A52" s="1286" t="s">
        <v>280</v>
      </c>
      <c r="B52" s="1286" t="s">
        <v>281</v>
      </c>
      <c r="C52" s="1286" t="s">
        <v>282</v>
      </c>
      <c r="D52" s="1286" t="s">
        <v>561</v>
      </c>
      <c r="E52" s="2507"/>
      <c r="F52" s="2507"/>
      <c r="G52" s="2507"/>
      <c r="H52" s="2507"/>
      <c r="I52" s="2527"/>
      <c r="J52" s="2527"/>
      <c r="K52" s="2504" t="str">
        <f>S48&amp;".1"</f>
        <v>...1</v>
      </c>
      <c r="L52" s="1287"/>
      <c r="P52" s="2505"/>
      <c r="Q52" s="2505"/>
      <c r="R52" s="293">
        <v>1</v>
      </c>
      <c r="S52" s="2564" t="str">
        <f>$K52</f>
        <v>...1</v>
      </c>
      <c r="T52" s="2585"/>
      <c r="U52" s="237"/>
      <c r="V52" s="686"/>
      <c r="W52" s="1180"/>
      <c r="X52" s="686"/>
      <c r="Y52" s="1180"/>
      <c r="Z52" s="1655"/>
      <c r="AA52" s="1392" t="s">
        <v>63</v>
      </c>
      <c r="AB52" s="1655"/>
      <c r="AC52" s="1392" t="s">
        <v>63</v>
      </c>
      <c r="AD52" s="2445" t="s">
        <v>63</v>
      </c>
      <c r="AE52" s="2549"/>
      <c r="AF52" s="2462">
        <v>1</v>
      </c>
      <c r="AG52" s="2588"/>
      <c r="AH52" s="2360" t="s">
        <v>63</v>
      </c>
      <c r="AI52" s="2549"/>
      <c r="AJ52" s="2462">
        <v>1</v>
      </c>
      <c r="AK52" s="2550" t="s">
        <v>22</v>
      </c>
      <c r="AL52" s="2360" t="s">
        <v>63</v>
      </c>
      <c r="AM52" s="2452"/>
      <c r="AN52" s="2462">
        <v>1</v>
      </c>
      <c r="AO52" s="2582"/>
      <c r="AP52" s="2583" t="s">
        <v>63</v>
      </c>
      <c r="AQ52" s="248"/>
      <c r="AR52" s="1409">
        <v>1</v>
      </c>
      <c r="AS52" s="1415" t="s">
        <v>22</v>
      </c>
      <c r="AT52" s="686"/>
      <c r="AU52" s="1180"/>
      <c r="AV52" s="686"/>
      <c r="AW52" s="1180"/>
      <c r="AX52" s="1655"/>
      <c r="AY52" s="1392" t="s">
        <v>63</v>
      </c>
      <c r="AZ52" s="1655"/>
      <c r="BA52" s="1392" t="s">
        <v>63</v>
      </c>
      <c r="BB52" s="1271"/>
      <c r="BC52" s="2501" t="s">
        <v>516</v>
      </c>
      <c r="BE52" s="436"/>
      <c r="BF52" s="436" t="str">
        <f t="shared" si="3"/>
        <v/>
      </c>
      <c r="BG52" s="436"/>
      <c r="BH52" s="436"/>
      <c r="BI52" s="1078">
        <v>11</v>
      </c>
    </row>
    <row r="53" spans="1:61" ht="11.45" customHeight="1">
      <c r="A53" s="1286"/>
      <c r="B53" s="1286"/>
      <c r="C53" s="1286"/>
      <c r="D53" s="1286"/>
      <c r="E53" s="2507"/>
      <c r="F53" s="2507"/>
      <c r="G53" s="2507"/>
      <c r="H53" s="2507"/>
      <c r="I53" s="2527"/>
      <c r="J53" s="2527"/>
      <c r="K53" s="2504"/>
      <c r="L53" s="1287"/>
      <c r="P53" s="2505"/>
      <c r="Q53" s="2505"/>
      <c r="R53" s="293"/>
      <c r="S53" s="2565"/>
      <c r="T53" s="2586"/>
      <c r="U53" s="237"/>
      <c r="V53" s="1316"/>
      <c r="W53" s="1419"/>
      <c r="X53" s="1316"/>
      <c r="Y53" s="1419"/>
      <c r="Z53" s="1316"/>
      <c r="AA53" s="1316"/>
      <c r="AB53" s="1316"/>
      <c r="AC53" s="1316"/>
      <c r="AD53" s="2446"/>
      <c r="AE53" s="2549"/>
      <c r="AF53" s="2462"/>
      <c r="AG53" s="2588"/>
      <c r="AH53" s="2360"/>
      <c r="AI53" s="2549"/>
      <c r="AJ53" s="2462"/>
      <c r="AK53" s="2550"/>
      <c r="AL53" s="2360"/>
      <c r="AM53" s="2457"/>
      <c r="AN53" s="2462"/>
      <c r="AO53" s="2582"/>
      <c r="AP53" s="2584"/>
      <c r="AQ53" s="253"/>
      <c r="AR53" s="352"/>
      <c r="AS53" s="352" t="s">
        <v>517</v>
      </c>
      <c r="AT53" s="1316"/>
      <c r="AU53" s="1419"/>
      <c r="AV53" s="1316"/>
      <c r="AW53" s="1419"/>
      <c r="AX53" s="1316"/>
      <c r="AY53" s="1316"/>
      <c r="AZ53" s="1316"/>
      <c r="BA53" s="1316"/>
      <c r="BB53" s="1320"/>
      <c r="BC53" s="2502"/>
      <c r="BE53" s="436"/>
      <c r="BF53" s="436"/>
      <c r="BG53" s="436"/>
      <c r="BH53" s="436"/>
      <c r="BI53" s="1078">
        <v>11</v>
      </c>
    </row>
    <row r="54" spans="1:61" ht="11.45" customHeight="1">
      <c r="A54" s="1286" t="s">
        <v>280</v>
      </c>
      <c r="B54" s="1286"/>
      <c r="C54" s="1286"/>
      <c r="D54" s="1286"/>
      <c r="E54" s="2507"/>
      <c r="F54" s="2507"/>
      <c r="G54" s="2507"/>
      <c r="H54" s="2507"/>
      <c r="I54" s="2527"/>
      <c r="J54" s="2527"/>
      <c r="K54" s="2504"/>
      <c r="L54" s="1287"/>
      <c r="P54" s="2505"/>
      <c r="Q54" s="2505"/>
      <c r="R54" s="293"/>
      <c r="S54" s="2565"/>
      <c r="T54" s="2586"/>
      <c r="U54" s="237"/>
      <c r="V54" s="1316"/>
      <c r="W54" s="1419"/>
      <c r="X54" s="1316"/>
      <c r="Y54" s="1419"/>
      <c r="Z54" s="1316"/>
      <c r="AA54" s="1316"/>
      <c r="AB54" s="1316"/>
      <c r="AC54" s="1316"/>
      <c r="AD54" s="2446"/>
      <c r="AE54" s="2549"/>
      <c r="AF54" s="2462"/>
      <c r="AG54" s="2588"/>
      <c r="AH54" s="2360"/>
      <c r="AI54" s="2549"/>
      <c r="AJ54" s="2462"/>
      <c r="AK54" s="2550"/>
      <c r="AL54" s="2360"/>
      <c r="AM54" s="253"/>
      <c r="AN54" s="1423"/>
      <c r="AO54" s="1423" t="s">
        <v>518</v>
      </c>
      <c r="AP54" s="352"/>
      <c r="AQ54" s="352"/>
      <c r="AR54" s="352"/>
      <c r="AS54" s="1316"/>
      <c r="AT54" s="1316"/>
      <c r="AU54" s="1419"/>
      <c r="AV54" s="1316"/>
      <c r="AW54" s="1419"/>
      <c r="AX54" s="1316"/>
      <c r="AY54" s="1316"/>
      <c r="AZ54" s="1316"/>
      <c r="BA54" s="1316"/>
      <c r="BB54" s="1320"/>
      <c r="BC54" s="2502"/>
      <c r="BE54" s="436"/>
      <c r="BF54" s="436"/>
      <c r="BG54" s="436"/>
      <c r="BH54" s="436"/>
      <c r="BI54" s="1078">
        <v>11</v>
      </c>
    </row>
    <row r="55" spans="1:61" ht="11.45" customHeight="1">
      <c r="A55" s="1286" t="s">
        <v>280</v>
      </c>
      <c r="B55" s="1286"/>
      <c r="C55" s="1286"/>
      <c r="D55" s="1286"/>
      <c r="E55" s="2507"/>
      <c r="F55" s="2507"/>
      <c r="G55" s="2507"/>
      <c r="H55" s="2507"/>
      <c r="I55" s="2527"/>
      <c r="J55" s="2527"/>
      <c r="K55" s="2504"/>
      <c r="L55" s="1287"/>
      <c r="P55" s="2505"/>
      <c r="Q55" s="2505"/>
      <c r="R55" s="293"/>
      <c r="S55" s="2565"/>
      <c r="T55" s="2586"/>
      <c r="U55" s="237"/>
      <c r="V55" s="1316"/>
      <c r="W55" s="1419"/>
      <c r="X55" s="1316"/>
      <c r="Y55" s="1419"/>
      <c r="Z55" s="1316"/>
      <c r="AA55" s="1316"/>
      <c r="AB55" s="1316"/>
      <c r="AC55" s="1316"/>
      <c r="AD55" s="2446"/>
      <c r="AE55" s="2549"/>
      <c r="AF55" s="2462"/>
      <c r="AG55" s="2588"/>
      <c r="AH55" s="2360"/>
      <c r="AI55" s="231"/>
      <c r="AJ55" s="351"/>
      <c r="AK55" s="250" t="s">
        <v>519</v>
      </c>
      <c r="AL55" s="1316"/>
      <c r="AM55" s="1316"/>
      <c r="AN55" s="1316"/>
      <c r="AO55" s="1316"/>
      <c r="AP55" s="1316"/>
      <c r="AQ55" s="1316"/>
      <c r="AR55" s="1316"/>
      <c r="AS55" s="1316"/>
      <c r="AT55" s="1316"/>
      <c r="AU55" s="1419"/>
      <c r="AV55" s="1316"/>
      <c r="AW55" s="1419"/>
      <c r="AX55" s="1316"/>
      <c r="AY55" s="1316"/>
      <c r="AZ55" s="1316"/>
      <c r="BA55" s="1316"/>
      <c r="BB55" s="1320"/>
      <c r="BC55" s="2502"/>
      <c r="BE55" s="436"/>
      <c r="BF55" s="436"/>
      <c r="BG55" s="436"/>
      <c r="BH55" s="436"/>
      <c r="BI55" s="1078">
        <v>11</v>
      </c>
    </row>
    <row r="56" spans="1:61" ht="11.45" customHeight="1">
      <c r="A56" s="1286" t="s">
        <v>280</v>
      </c>
      <c r="B56" s="1286" t="s">
        <v>281</v>
      </c>
      <c r="C56" s="1286" t="s">
        <v>282</v>
      </c>
      <c r="D56" s="1286" t="s">
        <v>561</v>
      </c>
      <c r="E56" s="2507"/>
      <c r="F56" s="2507"/>
      <c r="G56" s="2507"/>
      <c r="H56" s="2507"/>
      <c r="I56" s="2527"/>
      <c r="J56" s="2527"/>
      <c r="K56" s="2504"/>
      <c r="L56" s="1287"/>
      <c r="P56" s="2505"/>
      <c r="Q56" s="2505"/>
      <c r="R56" s="293"/>
      <c r="S56" s="2566"/>
      <c r="T56" s="2587"/>
      <c r="U56" s="237"/>
      <c r="V56" s="1316"/>
      <c r="W56" s="1317" t="str">
        <f>Z52&amp;"-"&amp;AB52</f>
        <v>-</v>
      </c>
      <c r="X56" s="1316"/>
      <c r="Y56" s="1317" t="str">
        <f>AB52&amp;"-"&amp;AD52</f>
        <v>-да</v>
      </c>
      <c r="Z56" s="1316"/>
      <c r="AA56" s="1316"/>
      <c r="AB56" s="1316"/>
      <c r="AC56" s="1316"/>
      <c r="AD56" s="2375"/>
      <c r="AE56" s="249"/>
      <c r="AF56" s="251"/>
      <c r="AG56" s="352" t="s">
        <v>520</v>
      </c>
      <c r="AH56" s="1316"/>
      <c r="AI56" s="1316"/>
      <c r="AJ56" s="1316"/>
      <c r="AK56" s="1316"/>
      <c r="AL56" s="1316"/>
      <c r="AM56" s="1316"/>
      <c r="AN56" s="1316"/>
      <c r="AO56" s="1316"/>
      <c r="AP56" s="1316"/>
      <c r="AQ56" s="1316"/>
      <c r="AR56" s="1316"/>
      <c r="AS56" s="1316"/>
      <c r="AT56" s="1316"/>
      <c r="AU56" s="1317" t="str">
        <f>AX52&amp;"-"&amp;AZ52</f>
        <v>-</v>
      </c>
      <c r="AV56" s="1316"/>
      <c r="AW56" s="1317" t="str">
        <f>AZ52&amp;"-"&amp;BB52</f>
        <v>-</v>
      </c>
      <c r="AX56" s="1316"/>
      <c r="AY56" s="1316"/>
      <c r="AZ56" s="1316"/>
      <c r="BA56" s="1316"/>
      <c r="BB56" s="1319" t="str">
        <f>BE52&amp;"-"&amp;BG52</f>
        <v>-</v>
      </c>
      <c r="BC56" s="2502"/>
      <c r="BE56" s="436"/>
      <c r="BF56" s="436" t="str">
        <f t="shared" ref="BF56:BF63" si="4">IF(T56="","",T56)</f>
        <v/>
      </c>
      <c r="BG56" s="436"/>
      <c r="BH56" s="436"/>
      <c r="BI56" s="1078">
        <v>11</v>
      </c>
    </row>
    <row r="57" spans="1:61" ht="11.45" customHeight="1">
      <c r="A57" s="1286" t="s">
        <v>280</v>
      </c>
      <c r="B57" s="1286" t="s">
        <v>281</v>
      </c>
      <c r="C57" s="1286" t="s">
        <v>282</v>
      </c>
      <c r="D57" s="1286" t="s">
        <v>561</v>
      </c>
      <c r="E57" s="2507"/>
      <c r="F57" s="2507"/>
      <c r="G57" s="2507"/>
      <c r="H57" s="2507"/>
      <c r="I57" s="2527"/>
      <c r="J57" s="2504"/>
      <c r="K57" s="1286"/>
      <c r="L57" s="1287"/>
      <c r="P57" s="2505"/>
      <c r="Q57" s="2505"/>
      <c r="R57" s="292"/>
      <c r="S57" s="1201"/>
      <c r="T57" s="224" t="s">
        <v>483</v>
      </c>
      <c r="U57" s="303"/>
      <c r="V57" s="303"/>
      <c r="W57" s="303"/>
      <c r="X57" s="303"/>
      <c r="Y57" s="303"/>
      <c r="Z57" s="303"/>
      <c r="AA57" s="303"/>
      <c r="AB57" s="303"/>
      <c r="AC57" s="261"/>
      <c r="AD57" s="1428"/>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503"/>
      <c r="BE57" s="436"/>
      <c r="BF57" s="436" t="str">
        <f t="shared" si="4"/>
        <v>Добавить строку</v>
      </c>
      <c r="BG57" s="436"/>
      <c r="BH57" s="436"/>
      <c r="BI57" s="1078">
        <v>11</v>
      </c>
    </row>
    <row r="58" spans="1:61" s="1565" customFormat="1" ht="0" hidden="1" customHeight="1">
      <c r="A58" s="1266" t="s">
        <v>280</v>
      </c>
      <c r="B58" s="1266" t="s">
        <v>281</v>
      </c>
      <c r="C58" s="1266" t="s">
        <v>282</v>
      </c>
      <c r="D58" s="1266" t="s">
        <v>561</v>
      </c>
      <c r="E58" s="2507"/>
      <c r="F58" s="2507"/>
      <c r="G58" s="2507"/>
      <c r="H58" s="2507"/>
      <c r="I58" s="2504"/>
      <c r="J58" s="1266"/>
      <c r="K58" s="1266"/>
      <c r="L58" s="1269"/>
      <c r="M58" s="446"/>
      <c r="N58" s="446"/>
      <c r="O58" s="446"/>
      <c r="P58" s="2505"/>
      <c r="Q58" s="1404"/>
      <c r="R58" s="292"/>
      <c r="S58" s="1309"/>
      <c r="T58" s="1310"/>
      <c r="U58" s="1311"/>
      <c r="V58" s="1311"/>
      <c r="W58" s="1311"/>
      <c r="X58" s="1311"/>
      <c r="Y58" s="1311"/>
      <c r="Z58" s="1311"/>
      <c r="AA58" s="1311"/>
      <c r="AB58" s="1311"/>
      <c r="AC58" s="1311"/>
      <c r="AD58" s="1311"/>
      <c r="AE58" s="1311"/>
      <c r="AF58" s="1311"/>
      <c r="AG58" s="1311"/>
      <c r="AH58" s="1311"/>
      <c r="AI58" s="1311"/>
      <c r="AJ58" s="1311"/>
      <c r="AK58" s="1311"/>
      <c r="AL58" s="1311"/>
      <c r="AM58" s="1311"/>
      <c r="AN58" s="1311"/>
      <c r="AO58" s="1311"/>
      <c r="AP58" s="1311"/>
      <c r="AQ58" s="1311"/>
      <c r="AR58" s="1311"/>
      <c r="AS58" s="1311"/>
      <c r="AT58" s="1311"/>
      <c r="AU58" s="1311"/>
      <c r="AV58" s="1311"/>
      <c r="AW58" s="1311"/>
      <c r="AX58" s="1311"/>
      <c r="AY58" s="1311"/>
      <c r="AZ58" s="1311"/>
      <c r="BA58" s="1311"/>
      <c r="BB58" s="1311"/>
      <c r="BC58" s="1312"/>
      <c r="BE58" s="436"/>
      <c r="BF58" s="436" t="str">
        <f t="shared" si="4"/>
        <v/>
      </c>
      <c r="BG58" s="436"/>
      <c r="BH58" s="436"/>
      <c r="BI58" s="447">
        <v>0</v>
      </c>
    </row>
    <row r="59" spans="1:61" s="1565" customFormat="1" ht="0" hidden="1" customHeight="1">
      <c r="A59" s="1266" t="s">
        <v>280</v>
      </c>
      <c r="B59" s="1266" t="s">
        <v>281</v>
      </c>
      <c r="C59" s="1266" t="s">
        <v>282</v>
      </c>
      <c r="D59" s="1266" t="s">
        <v>561</v>
      </c>
      <c r="E59" s="2507"/>
      <c r="F59" s="2507"/>
      <c r="G59" s="2507"/>
      <c r="H59" s="2506"/>
      <c r="I59" s="1266"/>
      <c r="J59" s="1266"/>
      <c r="K59" s="1266"/>
      <c r="L59" s="1269"/>
      <c r="M59" s="1238"/>
      <c r="N59" s="1238"/>
      <c r="O59" s="454"/>
      <c r="P59" s="316"/>
      <c r="Q59" s="1267"/>
      <c r="R59" s="1324"/>
      <c r="S59" s="1309"/>
      <c r="T59" s="1310"/>
      <c r="U59" s="1311"/>
      <c r="V59" s="1311"/>
      <c r="W59" s="1311"/>
      <c r="X59" s="1311"/>
      <c r="Y59" s="1311"/>
      <c r="Z59" s="1311"/>
      <c r="AA59" s="1311"/>
      <c r="AB59" s="1311"/>
      <c r="AC59" s="1311"/>
      <c r="AD59" s="1311"/>
      <c r="AE59" s="1311"/>
      <c r="AF59" s="1311"/>
      <c r="AG59" s="1311"/>
      <c r="AH59" s="1311"/>
      <c r="AI59" s="1311"/>
      <c r="AJ59" s="1311"/>
      <c r="AK59" s="1311"/>
      <c r="AL59" s="1311"/>
      <c r="AM59" s="1311"/>
      <c r="AN59" s="1311"/>
      <c r="AO59" s="1311"/>
      <c r="AP59" s="1311"/>
      <c r="AQ59" s="1311"/>
      <c r="AR59" s="1311"/>
      <c r="AS59" s="1311"/>
      <c r="AT59" s="1311"/>
      <c r="AU59" s="1311"/>
      <c r="AV59" s="1311"/>
      <c r="AW59" s="1311"/>
      <c r="AX59" s="1311"/>
      <c r="AY59" s="1311"/>
      <c r="AZ59" s="1311"/>
      <c r="BA59" s="1311"/>
      <c r="BB59" s="1311"/>
      <c r="BC59" s="1312"/>
      <c r="BE59" s="436"/>
      <c r="BF59" s="436" t="str">
        <f t="shared" si="4"/>
        <v/>
      </c>
      <c r="BG59" s="436"/>
      <c r="BH59" s="436"/>
      <c r="BI59" s="447">
        <v>0</v>
      </c>
    </row>
    <row r="60" spans="1:61" s="1565" customFormat="1" ht="0" hidden="1" customHeight="1">
      <c r="A60" s="1266" t="s">
        <v>280</v>
      </c>
      <c r="B60" s="1266" t="s">
        <v>281</v>
      </c>
      <c r="C60" s="1266" t="s">
        <v>282</v>
      </c>
      <c r="D60" s="1237"/>
      <c r="E60" s="2507"/>
      <c r="F60" s="2507"/>
      <c r="G60" s="2506"/>
      <c r="H60" s="1237"/>
      <c r="I60" s="1237"/>
      <c r="J60" s="1237"/>
      <c r="K60" s="1237"/>
      <c r="L60" s="1417"/>
      <c r="M60" s="1238"/>
      <c r="N60" s="1238"/>
      <c r="P60" s="1239"/>
      <c r="Q60" s="1240"/>
      <c r="R60" s="1239"/>
      <c r="S60" s="1245"/>
      <c r="T60" s="1248"/>
      <c r="U60" s="1247"/>
      <c r="V60" s="1247"/>
      <c r="W60" s="1247"/>
      <c r="X60" s="1247"/>
      <c r="Y60" s="1247"/>
      <c r="Z60" s="1247"/>
      <c r="AA60" s="1247"/>
      <c r="AB60" s="1247"/>
      <c r="AC60" s="1247"/>
      <c r="AD60" s="1247"/>
      <c r="AE60" s="1247"/>
      <c r="AF60" s="1247"/>
      <c r="AG60" s="1247"/>
      <c r="AH60" s="1247"/>
      <c r="AI60" s="1247"/>
      <c r="AJ60" s="1247"/>
      <c r="AK60" s="1247"/>
      <c r="AL60" s="1247"/>
      <c r="AM60" s="1247"/>
      <c r="AN60" s="1247"/>
      <c r="AO60" s="1247"/>
      <c r="AP60" s="1247"/>
      <c r="AQ60" s="1247"/>
      <c r="AR60" s="1247"/>
      <c r="AS60" s="1247"/>
      <c r="AT60" s="1247"/>
      <c r="AU60" s="1247"/>
      <c r="AV60" s="1247"/>
      <c r="AW60" s="1247"/>
      <c r="AX60" s="1247"/>
      <c r="AY60" s="1247"/>
      <c r="AZ60" s="1247"/>
      <c r="BA60" s="1247"/>
      <c r="BB60" s="1247"/>
      <c r="BC60" s="1247"/>
      <c r="BE60" s="718"/>
      <c r="BF60" s="718" t="str">
        <f t="shared" si="4"/>
        <v/>
      </c>
      <c r="BG60" s="718"/>
      <c r="BH60" s="718"/>
      <c r="BI60" s="454">
        <v>0</v>
      </c>
    </row>
    <row r="61" spans="1:61" s="1565" customFormat="1" ht="0" hidden="1" customHeight="1">
      <c r="A61" s="1266" t="s">
        <v>280</v>
      </c>
      <c r="B61" s="1266" t="s">
        <v>281</v>
      </c>
      <c r="C61" s="1237"/>
      <c r="D61" s="1237"/>
      <c r="E61" s="2507"/>
      <c r="F61" s="2506"/>
      <c r="G61" s="1237"/>
      <c r="H61" s="1237"/>
      <c r="I61" s="1237"/>
      <c r="J61" s="1237"/>
      <c r="K61" s="1237"/>
      <c r="L61" s="1417"/>
      <c r="M61" s="1244"/>
      <c r="N61" s="1244"/>
      <c r="P61" s="1239"/>
      <c r="Q61" s="1240"/>
      <c r="R61" s="1239"/>
      <c r="S61" s="1245"/>
      <c r="T61" s="1248" t="s">
        <v>434</v>
      </c>
      <c r="U61" s="1247"/>
      <c r="V61" s="1247"/>
      <c r="W61" s="1247"/>
      <c r="X61" s="1247"/>
      <c r="Y61" s="1247"/>
      <c r="Z61" s="1247"/>
      <c r="AA61" s="1247"/>
      <c r="AB61" s="1247"/>
      <c r="AC61" s="1247"/>
      <c r="AD61" s="1247"/>
      <c r="AE61" s="1247"/>
      <c r="AF61" s="1247"/>
      <c r="AG61" s="1247"/>
      <c r="AH61" s="1247"/>
      <c r="AI61" s="1247"/>
      <c r="AJ61" s="1247"/>
      <c r="AK61" s="1247"/>
      <c r="AL61" s="1247"/>
      <c r="AM61" s="1247"/>
      <c r="AN61" s="1247"/>
      <c r="AO61" s="1247"/>
      <c r="AP61" s="1247"/>
      <c r="AQ61" s="1247"/>
      <c r="AR61" s="1247"/>
      <c r="AS61" s="1247"/>
      <c r="AT61" s="1247"/>
      <c r="AU61" s="1247"/>
      <c r="AV61" s="1247"/>
      <c r="AW61" s="1247"/>
      <c r="AX61" s="1247"/>
      <c r="AY61" s="1247"/>
      <c r="AZ61" s="1247"/>
      <c r="BA61" s="1247"/>
      <c r="BB61" s="1247"/>
      <c r="BC61" s="1247"/>
      <c r="BE61" s="718"/>
      <c r="BF61" s="718" t="str">
        <f t="shared" si="4"/>
        <v>Добавить централизованную систему для дифференциации</v>
      </c>
      <c r="BG61" s="718"/>
      <c r="BH61" s="718"/>
      <c r="BI61" s="454">
        <v>0</v>
      </c>
    </row>
    <row r="62" spans="1:61" s="1565" customFormat="1" ht="0" hidden="1" customHeight="1">
      <c r="A62" s="1266" t="s">
        <v>280</v>
      </c>
      <c r="B62" s="1266"/>
      <c r="C62" s="1266"/>
      <c r="D62" s="1266"/>
      <c r="E62" s="2506"/>
      <c r="F62" s="1266"/>
      <c r="G62" s="1266"/>
      <c r="H62" s="1266"/>
      <c r="I62" s="1266"/>
      <c r="J62" s="1266"/>
      <c r="K62" s="1266"/>
      <c r="L62" s="1269"/>
      <c r="M62" s="1244"/>
      <c r="N62" s="1244"/>
      <c r="O62" s="454"/>
      <c r="P62" s="316"/>
      <c r="Q62" s="1267"/>
      <c r="R62" s="316"/>
      <c r="S62" s="1245"/>
      <c r="T62" s="1248" t="s">
        <v>435</v>
      </c>
      <c r="U62" s="1247"/>
      <c r="V62" s="1247"/>
      <c r="W62" s="1247"/>
      <c r="X62" s="1247"/>
      <c r="Y62" s="1247"/>
      <c r="Z62" s="1247"/>
      <c r="AA62" s="1247"/>
      <c r="AB62" s="1247"/>
      <c r="AC62" s="1247"/>
      <c r="AD62" s="1247"/>
      <c r="AE62" s="1247"/>
      <c r="AF62" s="1247"/>
      <c r="AG62" s="1247"/>
      <c r="AH62" s="1247"/>
      <c r="AI62" s="1247"/>
      <c r="AJ62" s="1247"/>
      <c r="AK62" s="1247"/>
      <c r="AL62" s="1247"/>
      <c r="AM62" s="1247"/>
      <c r="AN62" s="1247"/>
      <c r="AO62" s="1247"/>
      <c r="AP62" s="1247"/>
      <c r="AQ62" s="1247"/>
      <c r="AR62" s="1247"/>
      <c r="AS62" s="1247"/>
      <c r="AT62" s="1247"/>
      <c r="AU62" s="1247"/>
      <c r="AV62" s="1247"/>
      <c r="AW62" s="1247"/>
      <c r="AX62" s="1247"/>
      <c r="AY62" s="1247"/>
      <c r="AZ62" s="1247"/>
      <c r="BA62" s="1247"/>
      <c r="BB62" s="1247"/>
      <c r="BC62" s="1247"/>
      <c r="BE62" s="436"/>
      <c r="BF62" s="436" t="str">
        <f t="shared" si="4"/>
        <v>Добавить территорию для дифференциации</v>
      </c>
      <c r="BG62" s="436"/>
      <c r="BH62" s="436"/>
      <c r="BI62" s="447">
        <v>0</v>
      </c>
    </row>
    <row r="63" spans="1:61" s="1565" customFormat="1" ht="0" hidden="1" customHeight="1">
      <c r="A63" s="1237"/>
      <c r="B63" s="1237"/>
      <c r="C63" s="1237"/>
      <c r="D63" s="1237"/>
      <c r="E63" s="1266"/>
      <c r="F63" s="1237"/>
      <c r="G63" s="1237"/>
      <c r="H63" s="1237"/>
      <c r="I63" s="1237"/>
      <c r="J63" s="1237"/>
      <c r="K63" s="1237"/>
      <c r="L63" s="1417"/>
      <c r="M63" s="1244"/>
      <c r="N63" s="1244"/>
      <c r="P63" s="1239"/>
      <c r="Q63" s="1240"/>
      <c r="R63" s="1239"/>
      <c r="S63" s="1245"/>
      <c r="T63" s="1248" t="s">
        <v>463</v>
      </c>
      <c r="U63" s="1247"/>
      <c r="V63" s="1247"/>
      <c r="W63" s="1247"/>
      <c r="X63" s="1247"/>
      <c r="Y63" s="1247"/>
      <c r="Z63" s="1247"/>
      <c r="AA63" s="1247"/>
      <c r="AB63" s="1247"/>
      <c r="AC63" s="1247"/>
      <c r="AD63" s="1247"/>
      <c r="AE63" s="1247"/>
      <c r="AF63" s="1247"/>
      <c r="AG63" s="1247"/>
      <c r="AH63" s="1247"/>
      <c r="AI63" s="1247"/>
      <c r="AJ63" s="1247"/>
      <c r="AK63" s="1247"/>
      <c r="AL63" s="1247"/>
      <c r="AM63" s="1247"/>
      <c r="AN63" s="1247"/>
      <c r="AO63" s="1247"/>
      <c r="AP63" s="1247"/>
      <c r="AQ63" s="1247"/>
      <c r="AR63" s="1247"/>
      <c r="AS63" s="1247"/>
      <c r="AT63" s="1247"/>
      <c r="AU63" s="1247"/>
      <c r="AV63" s="1247"/>
      <c r="AW63" s="1247"/>
      <c r="AX63" s="1247"/>
      <c r="AY63" s="1247"/>
      <c r="AZ63" s="1247"/>
      <c r="BA63" s="1247"/>
      <c r="BB63" s="1247"/>
      <c r="BC63" s="1247"/>
      <c r="BE63" s="718"/>
      <c r="BF63" s="718" t="str">
        <f t="shared" si="4"/>
        <v>Добавить наименование тарифа</v>
      </c>
      <c r="BG63" s="718"/>
      <c r="BH63" s="718"/>
      <c r="BI63" s="454">
        <v>0</v>
      </c>
    </row>
    <row r="64" spans="1:61" ht="11.45" customHeight="1">
      <c r="M64" s="1083"/>
      <c r="N64" s="1083"/>
      <c r="O64" s="473"/>
      <c r="P64" s="1083"/>
      <c r="Q64" s="1083"/>
      <c r="R64" s="1078"/>
      <c r="S64" s="1078"/>
      <c r="BD64" s="1078"/>
      <c r="BE64" s="1078"/>
      <c r="BF64" s="1078"/>
      <c r="BG64" s="1078"/>
      <c r="BH64" s="1078"/>
      <c r="BI64" s="1078">
        <v>11</v>
      </c>
    </row>
    <row r="65" spans="1:61" ht="19.899999999999999" customHeight="1">
      <c r="O65" s="473"/>
      <c r="S65" s="1176"/>
      <c r="T65" s="2526"/>
      <c r="U65" s="2526"/>
      <c r="V65" s="2526"/>
      <c r="W65" s="2526"/>
      <c r="X65" s="2526"/>
      <c r="Y65" s="2526"/>
      <c r="Z65" s="2526"/>
      <c r="AA65" s="2526"/>
      <c r="AB65" s="2526"/>
      <c r="AC65" s="2526"/>
      <c r="AD65" s="2526"/>
      <c r="AE65" s="2526"/>
      <c r="AF65" s="2526"/>
      <c r="AG65" s="2526"/>
      <c r="AH65" s="2526"/>
      <c r="AI65" s="2526"/>
      <c r="AJ65" s="2526"/>
      <c r="AK65" s="2526"/>
      <c r="AL65" s="2526"/>
      <c r="AM65" s="2526"/>
      <c r="AN65" s="2526"/>
      <c r="AO65" s="2526"/>
      <c r="AP65" s="2526"/>
      <c r="AQ65" s="2526"/>
      <c r="AR65" s="2526"/>
      <c r="AS65" s="2526"/>
      <c r="AT65" s="2526"/>
      <c r="AU65" s="2526"/>
      <c r="AV65" s="2526"/>
      <c r="AW65" s="2526"/>
      <c r="AX65" s="2526"/>
      <c r="AY65" s="2526"/>
      <c r="AZ65" s="2526"/>
      <c r="BA65" s="2526"/>
      <c r="BB65" s="2526"/>
      <c r="BC65" s="2526"/>
      <c r="BI65" s="1078">
        <v>19</v>
      </c>
    </row>
    <row r="66" spans="1:61" ht="14.65" customHeight="1">
      <c r="O66" s="473"/>
      <c r="T66" s="1403"/>
      <c r="U66" s="1403"/>
      <c r="V66" s="1403"/>
      <c r="W66" s="1403"/>
      <c r="X66" s="1403"/>
      <c r="Y66" s="1403"/>
      <c r="Z66" s="1403"/>
      <c r="AA66" s="1403"/>
      <c r="AB66" s="1403"/>
      <c r="AC66" s="1403"/>
      <c r="AD66" s="1403"/>
      <c r="AE66" s="1403"/>
      <c r="AF66" s="1403"/>
      <c r="AG66" s="1403"/>
      <c r="AH66" s="1403"/>
      <c r="AI66" s="1403"/>
      <c r="AJ66" s="1403"/>
      <c r="AK66" s="1403"/>
      <c r="AL66" s="1403"/>
      <c r="AM66" s="1403"/>
      <c r="AN66" s="1403"/>
      <c r="AO66" s="1403"/>
      <c r="AP66" s="1403"/>
      <c r="AQ66" s="1403"/>
      <c r="AR66" s="1403"/>
      <c r="AS66" s="1403"/>
      <c r="AT66" s="1403"/>
      <c r="AU66" s="1403"/>
      <c r="AV66" s="1403"/>
      <c r="AW66" s="1403"/>
      <c r="AX66" s="1403"/>
      <c r="AY66" s="1403"/>
      <c r="AZ66" s="1403"/>
      <c r="BA66" s="1403"/>
      <c r="BB66" s="1403"/>
      <c r="BC66" s="1403"/>
      <c r="BI66" s="1078">
        <v>14</v>
      </c>
    </row>
    <row r="67" spans="1:61" ht="19.899999999999999" customHeight="1">
      <c r="O67" s="473"/>
      <c r="S67" s="1176"/>
      <c r="T67" s="2526"/>
      <c r="U67" s="2526"/>
      <c r="V67" s="2526"/>
      <c r="W67" s="2526"/>
      <c r="X67" s="2526"/>
      <c r="Y67" s="2526"/>
      <c r="Z67" s="2526"/>
      <c r="AA67" s="2526"/>
      <c r="AB67" s="2526"/>
      <c r="AC67" s="2526"/>
      <c r="AD67" s="2526"/>
      <c r="AE67" s="2526"/>
      <c r="AF67" s="2526"/>
      <c r="AG67" s="2526"/>
      <c r="AH67" s="2526"/>
      <c r="AI67" s="2526"/>
      <c r="AJ67" s="2526"/>
      <c r="AK67" s="2526"/>
      <c r="AL67" s="2526"/>
      <c r="AM67" s="2526"/>
      <c r="AN67" s="2526"/>
      <c r="AO67" s="2526"/>
      <c r="AP67" s="2526"/>
      <c r="AQ67" s="2526"/>
      <c r="AR67" s="2526"/>
      <c r="AS67" s="2526"/>
      <c r="AT67" s="2526"/>
      <c r="AU67" s="2526"/>
      <c r="AV67" s="2526"/>
      <c r="AW67" s="2526"/>
      <c r="AX67" s="2526"/>
      <c r="AY67" s="2526"/>
      <c r="AZ67" s="2526"/>
      <c r="BA67" s="2526"/>
      <c r="BB67" s="2526"/>
      <c r="BC67" s="2526"/>
      <c r="BI67" s="1078">
        <v>19</v>
      </c>
    </row>
    <row r="68" spans="1:61" ht="14.65" customHeight="1">
      <c r="O68" s="473"/>
      <c r="BI68" s="1078">
        <v>14</v>
      </c>
    </row>
    <row r="69" spans="1:61" ht="14.25" hidden="1" customHeight="1">
      <c r="A69" s="1083" t="s">
        <v>83</v>
      </c>
      <c r="B69" s="1083">
        <v>0</v>
      </c>
      <c r="C69" s="1083">
        <v>0</v>
      </c>
      <c r="D69" s="1083">
        <v>0</v>
      </c>
      <c r="E69" s="1083">
        <v>0</v>
      </c>
      <c r="F69" s="1083">
        <v>0</v>
      </c>
      <c r="G69" s="1083">
        <v>0</v>
      </c>
      <c r="H69" s="1083">
        <v>0</v>
      </c>
      <c r="I69" s="1083">
        <v>0</v>
      </c>
      <c r="J69" s="1083">
        <v>0</v>
      </c>
      <c r="K69" s="1083">
        <v>0</v>
      </c>
      <c r="L69" s="1401">
        <v>0</v>
      </c>
      <c r="M69" s="1285">
        <v>0</v>
      </c>
      <c r="N69" s="1285">
        <v>0</v>
      </c>
      <c r="O69" s="1285">
        <v>0</v>
      </c>
      <c r="P69" s="1285">
        <v>0</v>
      </c>
      <c r="Q69" s="1294">
        <v>0</v>
      </c>
      <c r="R69" s="281">
        <v>3</v>
      </c>
      <c r="S69" s="517">
        <v>12</v>
      </c>
      <c r="T69" s="1078">
        <v>31</v>
      </c>
      <c r="U69" s="1078">
        <v>0</v>
      </c>
      <c r="V69" s="1078">
        <v>0</v>
      </c>
      <c r="W69" s="1078">
        <v>0</v>
      </c>
      <c r="X69" s="1078">
        <v>0</v>
      </c>
      <c r="Y69" s="1078">
        <v>0</v>
      </c>
      <c r="Z69" s="1078">
        <v>0</v>
      </c>
      <c r="AA69" s="1078">
        <v>0</v>
      </c>
      <c r="AB69" s="1078">
        <v>0</v>
      </c>
      <c r="AC69" s="1078">
        <v>0</v>
      </c>
      <c r="AD69" s="1078">
        <v>3</v>
      </c>
      <c r="AE69" s="1078">
        <v>3</v>
      </c>
      <c r="AF69" s="1078">
        <v>3</v>
      </c>
      <c r="AG69" s="1078">
        <v>24</v>
      </c>
      <c r="AH69" s="1078">
        <v>3</v>
      </c>
      <c r="AI69" s="1078">
        <v>3</v>
      </c>
      <c r="AJ69" s="1078">
        <v>3</v>
      </c>
      <c r="AK69" s="1078">
        <v>24</v>
      </c>
      <c r="AL69" s="1078">
        <v>3</v>
      </c>
      <c r="AM69" s="1078">
        <v>3</v>
      </c>
      <c r="AN69" s="1078">
        <v>3</v>
      </c>
      <c r="AO69" s="1078">
        <v>18</v>
      </c>
      <c r="AP69" s="1078">
        <v>3</v>
      </c>
      <c r="AQ69" s="1078">
        <v>3</v>
      </c>
      <c r="AR69" s="1078">
        <v>3</v>
      </c>
      <c r="AS69" s="1078">
        <v>18</v>
      </c>
      <c r="AT69" s="1078">
        <v>21</v>
      </c>
      <c r="AU69" s="1078">
        <v>21</v>
      </c>
      <c r="AV69" s="1078">
        <v>21</v>
      </c>
      <c r="AW69" s="1078">
        <v>21</v>
      </c>
      <c r="AX69" s="1078">
        <v>11</v>
      </c>
      <c r="AY69" s="1078">
        <v>3</v>
      </c>
      <c r="AZ69" s="1078">
        <v>11</v>
      </c>
      <c r="BA69" s="1078">
        <v>0</v>
      </c>
      <c r="BB69" s="1078">
        <v>4</v>
      </c>
      <c r="BC69" s="1078">
        <v>115</v>
      </c>
      <c r="BD69" s="447">
        <v>10</v>
      </c>
      <c r="BE69" s="447">
        <v>10</v>
      </c>
      <c r="BF69" s="447">
        <v>10</v>
      </c>
      <c r="BG69" s="447">
        <v>10</v>
      </c>
      <c r="BH69" s="447">
        <v>10</v>
      </c>
      <c r="BI69" s="1078">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346"/>
  <sheetViews>
    <sheetView showGridLines="0" tabSelected="1" zoomScale="90" workbookViewId="0">
      <pane xSplit="8" ySplit="29" topLeftCell="O40" activePane="bottomRight" state="frozen"/>
      <selection pane="topRight" activeCell="I1" sqref="I1"/>
      <selection pane="bottomLeft" activeCell="A30" sqref="A30"/>
      <selection pane="bottomRight" activeCell="Q33" sqref="Q33"/>
    </sheetView>
  </sheetViews>
  <sheetFormatPr defaultColWidth="9.140625" defaultRowHeight="11.25" customHeight="1"/>
  <cols>
    <col min="1" max="1" width="10.7109375" style="914" hidden="1" customWidth="1"/>
    <col min="2" max="2" width="16.85546875" style="1289" hidden="1" customWidth="1"/>
    <col min="3" max="3" width="5.5703125" style="1565" hidden="1" customWidth="1"/>
    <col min="4" max="4" width="3" style="1558" customWidth="1"/>
    <col min="5" max="5" width="7" style="1558" customWidth="1"/>
    <col min="6" max="6" width="54" style="1558" customWidth="1"/>
    <col min="7" max="7" width="10" style="1558" customWidth="1"/>
    <col min="8" max="8" width="40.7109375" style="1558" hidden="1" customWidth="1"/>
    <col min="9" max="9" width="20.42578125" style="1558" customWidth="1"/>
    <col min="10" max="10" width="18.7109375" style="1558" customWidth="1"/>
    <col min="11" max="11" width="18.28515625" style="1558" customWidth="1"/>
    <col min="12" max="12" width="18" style="1558" customWidth="1"/>
    <col min="13" max="13" width="18.85546875" style="1558" customWidth="1"/>
    <col min="14" max="14" width="20" style="1558" customWidth="1"/>
    <col min="15" max="15" width="17.42578125" style="1558" customWidth="1"/>
    <col min="16" max="16" width="24.42578125" style="2326" customWidth="1"/>
    <col min="17" max="17" width="15.85546875" style="2326" customWidth="1"/>
    <col min="18" max="20" width="3" style="2326" customWidth="1"/>
    <col min="21" max="22" width="3" style="2327" customWidth="1"/>
    <col min="23" max="23" width="10" style="2327" customWidth="1"/>
    <col min="24" max="24" width="34" style="2327" customWidth="1"/>
    <col min="25" max="25" width="9" style="1289" customWidth="1"/>
    <col min="26" max="26" width="8" style="671" customWidth="1"/>
    <col min="27" max="31" width="8" style="1289" customWidth="1"/>
    <col min="32" max="36" width="8" style="1555" customWidth="1"/>
    <col min="37" max="37" width="9.140625" style="1558" hidden="1"/>
  </cols>
  <sheetData>
    <row r="1" spans="1:37" ht="22.5" hidden="1" customHeight="1">
      <c r="AK1" s="1554" t="s">
        <v>14</v>
      </c>
    </row>
    <row r="2" spans="1:37" ht="23.25" hidden="1" customHeight="1">
      <c r="B2" s="2353"/>
      <c r="C2" s="1090" t="s">
        <v>562</v>
      </c>
      <c r="D2" s="1561"/>
      <c r="E2" s="482">
        <f>B2</f>
        <v>0</v>
      </c>
      <c r="F2" s="483"/>
      <c r="G2" s="1569" t="s">
        <v>563</v>
      </c>
      <c r="H2" s="1569" t="s">
        <v>563</v>
      </c>
      <c r="I2" s="1569" t="s">
        <v>563</v>
      </c>
      <c r="J2" s="2024" t="s">
        <v>563</v>
      </c>
      <c r="K2" s="2024" t="s">
        <v>563</v>
      </c>
      <c r="L2" s="2024" t="s">
        <v>563</v>
      </c>
      <c r="M2" s="2024" t="s">
        <v>563</v>
      </c>
      <c r="N2" s="2024" t="s">
        <v>563</v>
      </c>
      <c r="O2" s="226" t="s">
        <v>564</v>
      </c>
      <c r="AK2" s="1554">
        <v>0</v>
      </c>
    </row>
    <row r="3" spans="1:37" s="1565" customFormat="1" ht="0.75" hidden="1" customHeight="1">
      <c r="B3" s="2353"/>
      <c r="C3" s="1090"/>
      <c r="D3" s="484"/>
      <c r="E3" s="485"/>
      <c r="F3" s="486" t="s">
        <v>565</v>
      </c>
      <c r="G3" s="487"/>
      <c r="H3" s="940">
        <f t="shared" ref="H3:N3" si="0">H4*H5+H6</f>
        <v>0</v>
      </c>
      <c r="I3" s="487">
        <f t="shared" si="0"/>
        <v>0</v>
      </c>
      <c r="J3" s="1296">
        <f t="shared" si="0"/>
        <v>0</v>
      </c>
      <c r="K3" s="1296">
        <f t="shared" si="0"/>
        <v>0</v>
      </c>
      <c r="L3" s="1296">
        <f t="shared" si="0"/>
        <v>0</v>
      </c>
      <c r="M3" s="1296">
        <f t="shared" si="0"/>
        <v>0</v>
      </c>
      <c r="N3" s="1296">
        <f t="shared" si="0"/>
        <v>0</v>
      </c>
      <c r="O3" s="488"/>
      <c r="P3" s="2326"/>
      <c r="Q3" s="2326"/>
      <c r="R3" s="2326"/>
      <c r="S3" s="2326"/>
      <c r="T3" s="2326"/>
      <c r="U3" s="2327"/>
      <c r="V3" s="2327"/>
      <c r="W3" s="2327"/>
      <c r="X3" s="2327"/>
      <c r="AK3" s="1559">
        <v>0</v>
      </c>
    </row>
    <row r="4" spans="1:37" ht="23.25" hidden="1" customHeight="1">
      <c r="B4" s="2353"/>
      <c r="C4" s="1090"/>
      <c r="D4" s="1561"/>
      <c r="E4" s="482" t="str">
        <f>B2&amp;".1"</f>
        <v>.1</v>
      </c>
      <c r="F4" s="489" t="s">
        <v>566</v>
      </c>
      <c r="G4" s="490"/>
      <c r="H4" s="477"/>
      <c r="I4" s="477"/>
      <c r="J4" s="686"/>
      <c r="K4" s="686"/>
      <c r="L4" s="686"/>
      <c r="M4" s="686"/>
      <c r="N4" s="686"/>
      <c r="O4" s="226" t="s">
        <v>567</v>
      </c>
      <c r="AK4" s="1554">
        <v>0</v>
      </c>
    </row>
    <row r="5" spans="1:37" ht="18.75" hidden="1" customHeight="1">
      <c r="B5" s="2353"/>
      <c r="C5" s="1090"/>
      <c r="D5" s="1561"/>
      <c r="E5" s="482" t="str">
        <f>B2&amp;".2"</f>
        <v>.2</v>
      </c>
      <c r="F5" s="489" t="s">
        <v>568</v>
      </c>
      <c r="G5" s="1569" t="s">
        <v>569</v>
      </c>
      <c r="H5" s="477"/>
      <c r="I5" s="477"/>
      <c r="J5" s="686"/>
      <c r="K5" s="686"/>
      <c r="L5" s="686"/>
      <c r="M5" s="686"/>
      <c r="N5" s="686"/>
      <c r="O5" s="226"/>
      <c r="AK5" s="1554">
        <v>0</v>
      </c>
    </row>
    <row r="6" spans="1:37" ht="18.75" hidden="1" customHeight="1">
      <c r="B6" s="2353"/>
      <c r="C6" s="1090"/>
      <c r="D6" s="1561"/>
      <c r="E6" s="482" t="str">
        <f>B2&amp;".3"</f>
        <v>.3</v>
      </c>
      <c r="F6" s="489" t="s">
        <v>570</v>
      </c>
      <c r="G6" s="1569" t="s">
        <v>569</v>
      </c>
      <c r="H6" s="477"/>
      <c r="I6" s="477"/>
      <c r="J6" s="686"/>
      <c r="K6" s="686"/>
      <c r="L6" s="686"/>
      <c r="M6" s="686"/>
      <c r="N6" s="686"/>
      <c r="O6" s="226"/>
      <c r="AK6" s="1554">
        <v>0</v>
      </c>
    </row>
    <row r="7" spans="1:37" ht="18.75" hidden="1" customHeight="1">
      <c r="B7" s="2353"/>
      <c r="C7" s="1090"/>
      <c r="D7" s="1561"/>
      <c r="E7" s="482" t="str">
        <f>B2&amp;".4"</f>
        <v>.4</v>
      </c>
      <c r="F7" s="489" t="s">
        <v>571</v>
      </c>
      <c r="G7" s="1569" t="s">
        <v>563</v>
      </c>
      <c r="H7" s="491"/>
      <c r="I7" s="491"/>
      <c r="J7" s="491"/>
      <c r="K7" s="491"/>
      <c r="L7" s="491"/>
      <c r="M7" s="491"/>
      <c r="N7" s="491"/>
      <c r="O7" s="226"/>
      <c r="AK7" s="1554">
        <v>0</v>
      </c>
    </row>
    <row r="8" spans="1:37" s="1289" customFormat="1" ht="11.25" hidden="1" customHeight="1">
      <c r="A8" s="914"/>
      <c r="C8" s="1559"/>
      <c r="D8" s="473"/>
      <c r="H8" s="1083">
        <v>4</v>
      </c>
      <c r="I8" s="1083">
        <v>4</v>
      </c>
      <c r="J8" s="1289">
        <v>4</v>
      </c>
      <c r="K8" s="1289">
        <v>4</v>
      </c>
      <c r="L8" s="1289">
        <v>4</v>
      </c>
      <c r="M8" s="1289">
        <v>4</v>
      </c>
      <c r="N8" s="1289">
        <v>4</v>
      </c>
      <c r="P8" s="2326"/>
      <c r="Q8" s="2326"/>
      <c r="R8" s="2326"/>
      <c r="S8" s="2326"/>
      <c r="T8" s="2326"/>
      <c r="U8" s="2327"/>
      <c r="V8" s="2327"/>
      <c r="W8" s="2327"/>
      <c r="X8" s="2327"/>
      <c r="AK8" s="1083">
        <v>0</v>
      </c>
    </row>
    <row r="9" spans="1:37" s="1289" customFormat="1" ht="22.5" hidden="1" customHeight="1">
      <c r="A9" s="914"/>
      <c r="C9" s="1559"/>
      <c r="D9" s="474"/>
      <c r="E9" s="1571"/>
      <c r="F9" s="476"/>
      <c r="G9" s="1569" t="s">
        <v>569</v>
      </c>
      <c r="H9" s="477"/>
      <c r="I9" s="477"/>
      <c r="J9" s="686"/>
      <c r="K9" s="686"/>
      <c r="L9" s="686"/>
      <c r="M9" s="686"/>
      <c r="N9" s="686"/>
      <c r="O9" s="478" t="s">
        <v>572</v>
      </c>
      <c r="P9" s="2326"/>
      <c r="Q9" s="2326"/>
      <c r="R9" s="2326"/>
      <c r="S9" s="2326"/>
      <c r="T9" s="2326"/>
      <c r="U9" s="2327"/>
      <c r="V9" s="2327"/>
      <c r="W9" s="2327"/>
      <c r="X9" s="2327"/>
      <c r="Z9" s="480"/>
      <c r="AF9" s="1555"/>
      <c r="AG9" s="1555"/>
      <c r="AH9" s="1555"/>
      <c r="AI9" s="1555"/>
      <c r="AJ9" s="1555"/>
      <c r="AK9" s="1083">
        <v>0</v>
      </c>
    </row>
    <row r="10" spans="1:37" ht="11.25" hidden="1" customHeight="1">
      <c r="AK10" s="1554">
        <v>0</v>
      </c>
    </row>
    <row r="11" spans="1:37" ht="18.75" hidden="1" customHeight="1">
      <c r="D11" s="1561"/>
      <c r="E11" s="482"/>
      <c r="F11" s="476"/>
      <c r="G11" s="1569" t="s">
        <v>573</v>
      </c>
      <c r="H11" s="477"/>
      <c r="I11" s="477"/>
      <c r="J11" s="686"/>
      <c r="K11" s="686"/>
      <c r="L11" s="686"/>
      <c r="M11" s="686"/>
      <c r="N11" s="686"/>
      <c r="O11" s="226" t="s">
        <v>574</v>
      </c>
      <c r="AK11" s="1554">
        <v>0</v>
      </c>
    </row>
    <row r="12" spans="1:37" ht="11.25" hidden="1" customHeight="1">
      <c r="AK12" s="1554">
        <v>0</v>
      </c>
    </row>
    <row r="13" spans="1:37" ht="22.5" hidden="1" customHeight="1">
      <c r="D13" s="1561"/>
      <c r="E13" s="482"/>
      <c r="F13" s="476"/>
      <c r="G13" s="896" t="s">
        <v>575</v>
      </c>
      <c r="H13" s="481"/>
      <c r="I13" s="481"/>
      <c r="J13" s="481"/>
      <c r="K13" s="481"/>
      <c r="L13" s="481"/>
      <c r="M13" s="481"/>
      <c r="N13" s="481"/>
      <c r="O13" s="680" t="s">
        <v>576</v>
      </c>
      <c r="AK13" s="1554">
        <v>0</v>
      </c>
    </row>
    <row r="14" spans="1:37" ht="11.25" hidden="1" customHeight="1">
      <c r="AK14" s="1554">
        <v>0</v>
      </c>
    </row>
    <row r="15" spans="1:37" ht="22.5" hidden="1" customHeight="1">
      <c r="D15" s="1561"/>
      <c r="E15" s="482"/>
      <c r="F15" s="476"/>
      <c r="G15" s="1569" t="s">
        <v>577</v>
      </c>
      <c r="H15" s="481"/>
      <c r="I15" s="481"/>
      <c r="J15" s="481"/>
      <c r="K15" s="481"/>
      <c r="L15" s="481"/>
      <c r="M15" s="481"/>
      <c r="N15" s="481"/>
      <c r="O15" s="226" t="s">
        <v>578</v>
      </c>
      <c r="AK15" s="1554">
        <v>0</v>
      </c>
    </row>
    <row r="16" spans="1:37" ht="11.25" hidden="1" customHeight="1">
      <c r="AK16" s="1554">
        <v>0</v>
      </c>
    </row>
    <row r="17" spans="1:37" ht="22.5" hidden="1" customHeight="1">
      <c r="D17" s="1561"/>
      <c r="E17" s="482"/>
      <c r="F17" s="476"/>
      <c r="G17" s="1569" t="s">
        <v>579</v>
      </c>
      <c r="H17" s="481"/>
      <c r="I17" s="481"/>
      <c r="J17" s="481"/>
      <c r="K17" s="481"/>
      <c r="L17" s="481"/>
      <c r="M17" s="481"/>
      <c r="N17" s="481"/>
      <c r="O17" s="226" t="s">
        <v>580</v>
      </c>
      <c r="AK17" s="1554">
        <v>0</v>
      </c>
    </row>
    <row r="18" spans="1:37" ht="11.25" hidden="1" customHeight="1">
      <c r="AK18" s="1554">
        <v>0</v>
      </c>
    </row>
    <row r="19" spans="1:37" s="1555" customFormat="1" ht="11.25" hidden="1" customHeight="1">
      <c r="A19" s="914"/>
      <c r="B19" s="1083"/>
      <c r="C19" s="1559"/>
      <c r="D19" s="298"/>
      <c r="O19" s="1555">
        <v>4</v>
      </c>
      <c r="P19" s="2326"/>
      <c r="Q19" s="2326"/>
      <c r="R19" s="2326"/>
      <c r="S19" s="2326"/>
      <c r="T19" s="2326"/>
      <c r="U19" s="2327"/>
      <c r="V19" s="2327"/>
      <c r="W19" s="2327"/>
      <c r="X19" s="2327"/>
      <c r="Y19" s="1083"/>
      <c r="Z19" s="480"/>
      <c r="AA19" s="1083"/>
      <c r="AB19" s="1083"/>
      <c r="AC19" s="1083"/>
      <c r="AD19" s="1083"/>
      <c r="AE19" s="1083"/>
      <c r="AK19" s="1555">
        <v>0</v>
      </c>
    </row>
    <row r="20" spans="1:37" ht="11.45" customHeight="1">
      <c r="AK20" s="1554">
        <v>11</v>
      </c>
    </row>
    <row r="21" spans="1:37" ht="25.15" customHeight="1">
      <c r="E21" s="249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490"/>
      <c r="G21" s="2490"/>
      <c r="H21" s="2490"/>
      <c r="I21" s="2490"/>
      <c r="J21" s="2017"/>
      <c r="K21" s="2017"/>
      <c r="L21" s="2017"/>
      <c r="M21" s="2017"/>
      <c r="N21" s="2017"/>
      <c r="O21" s="492"/>
      <c r="AK21" s="1554">
        <v>24</v>
      </c>
    </row>
    <row r="22" spans="1:37" ht="25.15" customHeight="1">
      <c r="E22" s="2436" t="str">
        <f>IF(org=0,"Не определено",org)</f>
        <v>ПАО "ТГК-2"</v>
      </c>
      <c r="F22" s="2436"/>
      <c r="G22" s="2436"/>
      <c r="H22" s="2436"/>
      <c r="I22" s="2436"/>
      <c r="J22" s="2018"/>
      <c r="K22" s="2018"/>
      <c r="L22" s="2018"/>
      <c r="M22" s="2018"/>
      <c r="N22" s="2018"/>
      <c r="AK22" s="1554">
        <v>24</v>
      </c>
    </row>
    <row r="23" spans="1:37" ht="11.45" customHeight="1">
      <c r="E23" s="1059"/>
      <c r="F23" s="1059"/>
      <c r="G23" s="1059"/>
      <c r="H23" s="1059"/>
      <c r="I23" s="1059"/>
      <c r="J23" s="1060" t="s">
        <v>22</v>
      </c>
      <c r="K23" s="1060" t="s">
        <v>22</v>
      </c>
      <c r="L23" s="1060" t="s">
        <v>22</v>
      </c>
      <c r="M23" s="1060" t="s">
        <v>22</v>
      </c>
      <c r="N23" s="1060" t="s">
        <v>22</v>
      </c>
      <c r="AK23" s="1554">
        <v>11</v>
      </c>
    </row>
    <row r="24" spans="1:37" s="1565" customFormat="1" ht="1.1499999999999999" customHeight="1">
      <c r="A24" s="1090"/>
      <c r="H24" s="817"/>
      <c r="I24" s="817" t="s">
        <v>129</v>
      </c>
      <c r="J24" s="817" t="s">
        <v>135</v>
      </c>
      <c r="K24" s="817" t="s">
        <v>137</v>
      </c>
      <c r="L24" s="817" t="s">
        <v>140</v>
      </c>
      <c r="M24" s="817" t="s">
        <v>139</v>
      </c>
      <c r="N24" s="817" t="s">
        <v>133</v>
      </c>
      <c r="P24" s="2326"/>
      <c r="Q24" s="2326"/>
      <c r="R24" s="2326"/>
      <c r="S24" s="2326"/>
      <c r="T24" s="2326"/>
      <c r="U24" s="2327"/>
      <c r="V24" s="2327"/>
      <c r="W24" s="2327"/>
      <c r="X24" s="2327"/>
      <c r="AK24" s="1559">
        <v>1</v>
      </c>
    </row>
    <row r="25" spans="1:37" ht="63" customHeight="1">
      <c r="E25" s="647"/>
      <c r="F25" s="2591" t="s">
        <v>119</v>
      </c>
      <c r="G25" s="2592"/>
      <c r="H25" s="1575" t="str">
        <f t="shared" ref="H25:N25" si="1">IF(H24="","",INDEX(DIFFERENTIATION_UNMERGE_VD,MATCH(H24,DIFFERENTIATION_ID_DIFF,0)))</f>
        <v/>
      </c>
      <c r="I25" s="1575" t="str">
        <f t="shared" si="1"/>
        <v>Производство тепловой энергии. Комбинированная выработка с уст. мощностью производства электрической энергии 25 МВт и более</v>
      </c>
      <c r="J25" s="2030" t="str">
        <f t="shared" si="1"/>
        <v>Производство тепловой энергии. Некомбинированная выработка</v>
      </c>
      <c r="K25" s="2030" t="str">
        <f t="shared" si="1"/>
        <v>Передача. Тепловая энергия; Сбыт. Тепловая энергия</v>
      </c>
      <c r="L25" s="2030" t="str">
        <f t="shared" si="1"/>
        <v>Производство. Теплоноситель; Сбыт. Теплоноситель</v>
      </c>
      <c r="M25" s="2030" t="str">
        <f t="shared" si="1"/>
        <v>Передача. Тепловая энергия; Сбыт. Тепловая энергия</v>
      </c>
      <c r="N25" s="2030" t="str">
        <f t="shared" si="1"/>
        <v>Производство тепловой энергии. Комбинированная выработка с уст. мощностью производства электрической энергии 25 МВт и более</v>
      </c>
      <c r="O25" s="2371"/>
      <c r="AK25" s="1554">
        <v>11</v>
      </c>
    </row>
    <row r="26" spans="1:37" ht="23.25" customHeight="1">
      <c r="E26" s="647"/>
      <c r="F26" s="2591" t="s">
        <v>581</v>
      </c>
      <c r="G26" s="2592"/>
      <c r="H26" s="1575" t="str">
        <f t="shared" ref="H26:N26" si="2">IF(H24="","",INDEX(DIFFERENTIATION_UNMERGE_AREA,MATCH(H24,DIFFERENTIATION_ID_DIFF,0)))</f>
        <v/>
      </c>
      <c r="I26" s="1575" t="str">
        <f t="shared" si="2"/>
        <v>Территория 1</v>
      </c>
      <c r="J26" s="2030" t="str">
        <f t="shared" si="2"/>
        <v>Территория 1</v>
      </c>
      <c r="K26" s="2030" t="str">
        <f t="shared" si="2"/>
        <v>Территория 1</v>
      </c>
      <c r="L26" s="2030" t="str">
        <f t="shared" si="2"/>
        <v>Территория 2</v>
      </c>
      <c r="M26" s="2030" t="str">
        <f t="shared" si="2"/>
        <v>Территория 2</v>
      </c>
      <c r="N26" s="2030" t="str">
        <f t="shared" si="2"/>
        <v>Территория 2</v>
      </c>
      <c r="O26" s="2371"/>
      <c r="AK26" s="1554">
        <v>11</v>
      </c>
    </row>
    <row r="27" spans="1:37" ht="16.5" customHeight="1">
      <c r="E27" s="647"/>
      <c r="F27" s="2591" t="s">
        <v>582</v>
      </c>
      <c r="G27" s="2592"/>
      <c r="H27" s="1575" t="str">
        <f t="shared" ref="H27:N27" si="3">IF(H24="","",INDEX(DIFFERENTIATION_UNMERGE_SYSTEM,MATCH(H24,DIFFERENTIATION_ID_DIFF,0)))</f>
        <v/>
      </c>
      <c r="I27" s="1575" t="str">
        <f t="shared" si="3"/>
        <v>без дифференциации</v>
      </c>
      <c r="J27" s="2030" t="str">
        <f t="shared" si="3"/>
        <v>без дифференциации</v>
      </c>
      <c r="K27" s="2030" t="str">
        <f t="shared" si="3"/>
        <v>без дифференциации</v>
      </c>
      <c r="L27" s="2030" t="str">
        <f t="shared" si="3"/>
        <v>без дифференциации</v>
      </c>
      <c r="M27" s="2030" t="str">
        <f t="shared" si="3"/>
        <v>без дифференциации</v>
      </c>
      <c r="N27" s="2030" t="str">
        <f t="shared" si="3"/>
        <v>без дифференциации</v>
      </c>
      <c r="O27" s="2371"/>
      <c r="AK27" s="1554">
        <v>11</v>
      </c>
    </row>
    <row r="28" spans="1:37" ht="11.45" customHeight="1">
      <c r="E28" s="2593" t="s">
        <v>319</v>
      </c>
      <c r="F28" s="2594"/>
      <c r="G28" s="2594"/>
      <c r="H28" s="1568"/>
      <c r="I28" s="1568"/>
      <c r="J28" s="2027"/>
      <c r="K28" s="2027"/>
      <c r="L28" s="2027"/>
      <c r="M28" s="2027"/>
      <c r="N28" s="2027"/>
      <c r="O28" s="2371"/>
      <c r="AK28" s="1554">
        <v>11</v>
      </c>
    </row>
    <row r="29" spans="1:37" ht="24" customHeight="1">
      <c r="E29" s="1569" t="s">
        <v>89</v>
      </c>
      <c r="F29" s="1576" t="s">
        <v>321</v>
      </c>
      <c r="G29" s="1576" t="s">
        <v>583</v>
      </c>
      <c r="H29" s="1576" t="s">
        <v>322</v>
      </c>
      <c r="I29" s="1576" t="s">
        <v>322</v>
      </c>
      <c r="J29" s="2024" t="s">
        <v>322</v>
      </c>
      <c r="K29" s="2024" t="s">
        <v>322</v>
      </c>
      <c r="L29" s="2024" t="s">
        <v>322</v>
      </c>
      <c r="M29" s="2024" t="s">
        <v>322</v>
      </c>
      <c r="N29" s="2024" t="s">
        <v>322</v>
      </c>
      <c r="O29" s="2371"/>
      <c r="AK29" s="1554">
        <v>23</v>
      </c>
    </row>
    <row r="30" spans="1:37" ht="20.25" customHeight="1">
      <c r="D30" s="1561"/>
      <c r="E30" s="482">
        <f>FHD_NUM_P_1</f>
        <v>1</v>
      </c>
      <c r="F30" s="1797" t="str">
        <f>FHD_P_1</f>
        <v>Выручка от регулируемого вида деятельности с распределением по видам деятельности</v>
      </c>
      <c r="G30" s="1795" t="s">
        <v>569</v>
      </c>
      <c r="H30" s="493"/>
      <c r="I30" s="493">
        <v>0</v>
      </c>
      <c r="J30" s="493">
        <v>0</v>
      </c>
      <c r="K30" s="493">
        <v>7261860.2206600001</v>
      </c>
      <c r="L30" s="493">
        <v>415917.64614999999</v>
      </c>
      <c r="M30" s="493">
        <v>4758719.9450599998</v>
      </c>
      <c r="N30" s="493">
        <v>0</v>
      </c>
      <c r="O30" s="226" t="str">
        <f>FHD_NOTE_P_1</f>
        <v>Указывается выручка от регулируемого вида деятельности с распределением по видам деятельности.</v>
      </c>
      <c r="P30" s="2328"/>
      <c r="Q30" s="2328">
        <f>K30+M30</f>
        <v>12020580.165720001</v>
      </c>
      <c r="AK30" s="1554">
        <v>19</v>
      </c>
    </row>
    <row r="31" spans="1:37" ht="27" customHeight="1">
      <c r="D31" s="1561"/>
      <c r="E31" s="482">
        <f>FHD_NUM_P_2</f>
        <v>2</v>
      </c>
      <c r="F31" s="1797" t="str">
        <f>FHD_P_2</f>
        <v>Себестоимость производимых товаров (оказываемых услуг) по регулируемому виду деятельности, включая:</v>
      </c>
      <c r="G31" s="1795" t="s">
        <v>569</v>
      </c>
      <c r="H31" s="494">
        <f t="shared" ref="H31:N31" si="4">SUMIF($P32:$P96,$P31,H32:H96)</f>
        <v>0</v>
      </c>
      <c r="I31" s="494">
        <f t="shared" si="4"/>
        <v>2600041.6163030877</v>
      </c>
      <c r="J31" s="494">
        <f t="shared" si="4"/>
        <v>74292.430250126839</v>
      </c>
      <c r="K31" s="494">
        <f t="shared" si="4"/>
        <v>4529948.7400500001</v>
      </c>
      <c r="L31" s="494">
        <f t="shared" si="4"/>
        <v>365725.52026999998</v>
      </c>
      <c r="M31" s="494">
        <f t="shared" si="4"/>
        <v>615559.34707699984</v>
      </c>
      <c r="N31" s="494">
        <f t="shared" si="4"/>
        <v>4028879.6819551322</v>
      </c>
      <c r="O31" s="226" t="str">
        <f>FHD_NOTE_P_2</f>
        <v>Указывается суммарная себестоимость производимых товаров.</v>
      </c>
      <c r="P31" s="2326" t="s">
        <v>584</v>
      </c>
      <c r="Q31" s="2328">
        <f>I31+J31+K31+M31+N31</f>
        <v>11848721.815635346</v>
      </c>
      <c r="AK31" s="1554">
        <v>11</v>
      </c>
    </row>
    <row r="32" spans="1:37" ht="20.25" customHeight="1">
      <c r="D32" s="1561"/>
      <c r="E32" s="482" t="str">
        <f>FHD_NUM_P_3</f>
        <v>2.1</v>
      </c>
      <c r="F32" s="1447" t="str">
        <f>FHD_P_3</f>
        <v>Расходы на приобретаемую тепловую энергию (мощность), теплоноситель</v>
      </c>
      <c r="G32" s="1795" t="s">
        <v>569</v>
      </c>
      <c r="H32" s="493"/>
      <c r="I32" s="493">
        <v>0</v>
      </c>
      <c r="J32" s="493">
        <v>0</v>
      </c>
      <c r="K32" s="493">
        <v>3033942.51</v>
      </c>
      <c r="L32" s="493">
        <v>0</v>
      </c>
      <c r="M32" s="493">
        <v>0</v>
      </c>
      <c r="N32" s="493">
        <v>0</v>
      </c>
      <c r="O32" s="226" t="str">
        <f>FHD_NOTE_P_3</f>
        <v/>
      </c>
      <c r="P32" s="2326" t="str">
        <f t="shared" ref="P32:P39" si="5">IF((LEN(E32)-LEN(SUBSTITUTE(E32,".","")))/LEN(".")=1,"p","")</f>
        <v>p</v>
      </c>
      <c r="Q32" s="2328">
        <f t="shared" ref="Q32:Q33" si="6">I32+J32+K32+M32+N32</f>
        <v>3033942.51</v>
      </c>
      <c r="AK32" s="1554">
        <v>11</v>
      </c>
    </row>
    <row r="33" spans="1:37" ht="31.5" customHeight="1">
      <c r="A33" s="2595" t="s">
        <v>585</v>
      </c>
      <c r="D33" s="1561"/>
      <c r="E33" s="482" t="str">
        <f>FHD_NUM_P_4</f>
        <v>2.2</v>
      </c>
      <c r="F33" s="1447"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795" t="s">
        <v>569</v>
      </c>
      <c r="H33" s="494">
        <f t="shared" ref="H33:N33" si="7">SUMIF($F34:$F64,$F3,H34:H64)</f>
        <v>0</v>
      </c>
      <c r="I33" s="494">
        <f t="shared" si="7"/>
        <v>2010896.4596570882</v>
      </c>
      <c r="J33" s="494">
        <f t="shared" si="7"/>
        <v>24822.742560126833</v>
      </c>
      <c r="K33" s="494">
        <f t="shared" si="7"/>
        <v>0</v>
      </c>
      <c r="L33" s="494">
        <f t="shared" si="7"/>
        <v>0</v>
      </c>
      <c r="M33" s="494">
        <f t="shared" si="7"/>
        <v>0</v>
      </c>
      <c r="N33" s="494">
        <f t="shared" si="7"/>
        <v>2844861.9386401325</v>
      </c>
      <c r="O33" s="226" t="str">
        <f>FHD_NOTE_P_4</f>
        <v>Указываются суммарные расходы на приобретение топлива всех видов.</v>
      </c>
      <c r="P33" s="2326" t="str">
        <f t="shared" si="5"/>
        <v>p</v>
      </c>
      <c r="Q33" s="2328">
        <f t="shared" si="6"/>
        <v>4880581.1408573473</v>
      </c>
      <c r="AK33" s="1554">
        <v>0</v>
      </c>
    </row>
    <row r="34" spans="1:37" s="1564" customFormat="1" ht="12.75" customHeight="1">
      <c r="A34" s="2595"/>
      <c r="B34" s="2598" t="str">
        <f>E33&amp;".0"</f>
        <v>2.2.0</v>
      </c>
      <c r="C34" s="1090"/>
      <c r="D34" s="496"/>
      <c r="E34" s="497"/>
      <c r="F34" s="498"/>
      <c r="G34" s="499"/>
      <c r="H34" s="433"/>
      <c r="I34" s="433"/>
      <c r="J34" s="433"/>
      <c r="K34" s="433"/>
      <c r="L34" s="433"/>
      <c r="M34" s="433"/>
      <c r="N34" s="433"/>
      <c r="O34" s="500"/>
      <c r="P34" s="2326" t="str">
        <f t="shared" si="5"/>
        <v/>
      </c>
      <c r="Q34" s="2326"/>
      <c r="R34" s="2326"/>
      <c r="S34" s="2326"/>
      <c r="T34" s="2326"/>
      <c r="U34" s="2327"/>
      <c r="V34" s="2327"/>
      <c r="W34" s="2327"/>
      <c r="X34" s="2327"/>
      <c r="Y34" s="1559"/>
      <c r="Z34" s="501"/>
      <c r="AA34" s="1559"/>
      <c r="AB34" s="1559"/>
      <c r="AC34" s="1559"/>
      <c r="AD34" s="1559"/>
      <c r="AE34" s="1559"/>
      <c r="AF34" s="502"/>
      <c r="AG34" s="502"/>
      <c r="AH34" s="502"/>
      <c r="AI34" s="502"/>
      <c r="AJ34" s="502"/>
      <c r="AK34" s="1564">
        <v>0</v>
      </c>
    </row>
    <row r="35" spans="1:37" s="1564" customFormat="1" ht="0.75" customHeight="1">
      <c r="A35" s="2595"/>
      <c r="B35" s="2598"/>
      <c r="C35" s="1090"/>
      <c r="D35" s="496"/>
      <c r="E35" s="503"/>
      <c r="F35" s="504"/>
      <c r="G35" s="499"/>
      <c r="H35" s="505"/>
      <c r="I35" s="505"/>
      <c r="J35" s="505"/>
      <c r="K35" s="505"/>
      <c r="L35" s="505"/>
      <c r="M35" s="505"/>
      <c r="N35" s="505"/>
      <c r="O35" s="500"/>
      <c r="P35" s="2326" t="str">
        <f t="shared" si="5"/>
        <v/>
      </c>
      <c r="Q35" s="2326"/>
      <c r="R35" s="2326"/>
      <c r="S35" s="2326"/>
      <c r="T35" s="2326"/>
      <c r="U35" s="2327"/>
      <c r="V35" s="2327"/>
      <c r="W35" s="2327"/>
      <c r="X35" s="2327"/>
      <c r="Y35" s="1559"/>
      <c r="Z35" s="501"/>
      <c r="AA35" s="1559"/>
      <c r="AB35" s="1559"/>
      <c r="AC35" s="1559"/>
      <c r="AD35" s="1559"/>
      <c r="AE35" s="1559"/>
      <c r="AF35" s="502"/>
      <c r="AG35" s="502"/>
      <c r="AH35" s="502"/>
      <c r="AI35" s="502"/>
      <c r="AJ35" s="502"/>
      <c r="AK35" s="1564">
        <v>0</v>
      </c>
    </row>
    <row r="36" spans="1:37" s="1564" customFormat="1" ht="0.75" customHeight="1">
      <c r="A36" s="2595"/>
      <c r="B36" s="2598"/>
      <c r="C36" s="1090"/>
      <c r="D36" s="496"/>
      <c r="E36" s="503"/>
      <c r="F36" s="504"/>
      <c r="G36" s="499"/>
      <c r="H36" s="505"/>
      <c r="I36" s="505"/>
      <c r="J36" s="505"/>
      <c r="K36" s="505"/>
      <c r="L36" s="505"/>
      <c r="M36" s="505"/>
      <c r="N36" s="505"/>
      <c r="O36" s="500"/>
      <c r="P36" s="2326" t="str">
        <f t="shared" si="5"/>
        <v/>
      </c>
      <c r="Q36" s="2326"/>
      <c r="R36" s="2326"/>
      <c r="S36" s="2326"/>
      <c r="T36" s="2326"/>
      <c r="U36" s="2327"/>
      <c r="V36" s="2327"/>
      <c r="W36" s="2327"/>
      <c r="X36" s="2327"/>
      <c r="Y36" s="1559"/>
      <c r="Z36" s="501"/>
      <c r="AA36" s="1559"/>
      <c r="AB36" s="1559"/>
      <c r="AC36" s="1559"/>
      <c r="AD36" s="1559"/>
      <c r="AE36" s="1559"/>
      <c r="AF36" s="502"/>
      <c r="AG36" s="502"/>
      <c r="AH36" s="502"/>
      <c r="AI36" s="502"/>
      <c r="AJ36" s="502"/>
      <c r="AK36" s="1564">
        <v>0</v>
      </c>
    </row>
    <row r="37" spans="1:37" s="1564" customFormat="1" ht="0.75" customHeight="1">
      <c r="A37" s="2595"/>
      <c r="B37" s="2598"/>
      <c r="C37" s="1090"/>
      <c r="D37" s="496"/>
      <c r="E37" s="503"/>
      <c r="F37" s="504"/>
      <c r="G37" s="499"/>
      <c r="H37" s="505"/>
      <c r="I37" s="505"/>
      <c r="J37" s="505"/>
      <c r="K37" s="505"/>
      <c r="L37" s="505"/>
      <c r="M37" s="505"/>
      <c r="N37" s="505"/>
      <c r="O37" s="500"/>
      <c r="P37" s="2326" t="str">
        <f t="shared" si="5"/>
        <v/>
      </c>
      <c r="Q37" s="2326"/>
      <c r="R37" s="2326"/>
      <c r="S37" s="2326"/>
      <c r="T37" s="2326"/>
      <c r="U37" s="2327"/>
      <c r="V37" s="2327"/>
      <c r="W37" s="2327"/>
      <c r="X37" s="2327"/>
      <c r="Y37" s="1559"/>
      <c r="Z37" s="501"/>
      <c r="AA37" s="1559"/>
      <c r="AB37" s="1559"/>
      <c r="AC37" s="1559"/>
      <c r="AD37" s="1559"/>
      <c r="AE37" s="1559"/>
      <c r="AF37" s="502"/>
      <c r="AG37" s="502"/>
      <c r="AH37" s="502"/>
      <c r="AI37" s="502"/>
      <c r="AJ37" s="502"/>
      <c r="AK37" s="1564">
        <v>0</v>
      </c>
    </row>
    <row r="38" spans="1:37" s="1564" customFormat="1" ht="0.75" customHeight="1">
      <c r="A38" s="2595"/>
      <c r="B38" s="2598"/>
      <c r="C38" s="1090"/>
      <c r="D38" s="496"/>
      <c r="E38" s="503"/>
      <c r="F38" s="504"/>
      <c r="G38" s="499"/>
      <c r="H38" s="505"/>
      <c r="I38" s="505"/>
      <c r="J38" s="505"/>
      <c r="K38" s="505"/>
      <c r="L38" s="505"/>
      <c r="M38" s="505"/>
      <c r="N38" s="505"/>
      <c r="O38" s="500"/>
      <c r="P38" s="2326" t="str">
        <f t="shared" si="5"/>
        <v/>
      </c>
      <c r="Q38" s="2326"/>
      <c r="R38" s="2326"/>
      <c r="S38" s="2326"/>
      <c r="T38" s="2326"/>
      <c r="U38" s="2327"/>
      <c r="V38" s="2327"/>
      <c r="W38" s="2327"/>
      <c r="X38" s="2327"/>
      <c r="Y38" s="1559"/>
      <c r="Z38" s="501"/>
      <c r="AA38" s="1559"/>
      <c r="AB38" s="1559"/>
      <c r="AC38" s="1559"/>
      <c r="AD38" s="1559"/>
      <c r="AE38" s="1559"/>
      <c r="AF38" s="502"/>
      <c r="AG38" s="502"/>
      <c r="AH38" s="502"/>
      <c r="AI38" s="502"/>
      <c r="AJ38" s="502"/>
      <c r="AK38" s="1564">
        <v>0</v>
      </c>
    </row>
    <row r="39" spans="1:37" s="1564" customFormat="1" ht="0.75" customHeight="1">
      <c r="A39" s="2595"/>
      <c r="B39" s="2598"/>
      <c r="C39" s="1090"/>
      <c r="D39" s="496"/>
      <c r="E39" s="503"/>
      <c r="F39" s="504"/>
      <c r="G39" s="499"/>
      <c r="H39" s="433"/>
      <c r="I39" s="433"/>
      <c r="J39" s="433"/>
      <c r="K39" s="433"/>
      <c r="L39" s="433"/>
      <c r="M39" s="433"/>
      <c r="N39" s="433"/>
      <c r="O39" s="500"/>
      <c r="P39" s="2326" t="str">
        <f t="shared" si="5"/>
        <v/>
      </c>
      <c r="Q39" s="2326"/>
      <c r="R39" s="2326"/>
      <c r="S39" s="2326"/>
      <c r="T39" s="2326"/>
      <c r="U39" s="2327"/>
      <c r="V39" s="2327"/>
      <c r="W39" s="2327"/>
      <c r="X39" s="2327"/>
      <c r="Y39" s="1559"/>
      <c r="Z39" s="501"/>
      <c r="AA39" s="1559"/>
      <c r="AB39" s="1559"/>
      <c r="AC39" s="1559"/>
      <c r="AD39" s="1559"/>
      <c r="AE39" s="1559"/>
      <c r="AF39" s="502"/>
      <c r="AG39" s="502"/>
      <c r="AH39" s="502"/>
      <c r="AI39" s="502"/>
      <c r="AJ39" s="502"/>
      <c r="AK39" s="1564">
        <v>0</v>
      </c>
    </row>
    <row r="40" spans="1:37" s="1767" customFormat="1" ht="23.25" customHeight="1">
      <c r="A40" s="2596"/>
      <c r="B40" s="2353" t="str">
        <f>E33&amp;".1"</f>
        <v>2.2.1</v>
      </c>
      <c r="C40" s="1247" t="s">
        <v>562</v>
      </c>
      <c r="D40" s="619" t="s">
        <v>104</v>
      </c>
      <c r="E40" s="482" t="str">
        <f>B40</f>
        <v>2.2.1</v>
      </c>
      <c r="F40" s="483" t="s">
        <v>586</v>
      </c>
      <c r="G40" s="2026" t="s">
        <v>563</v>
      </c>
      <c r="H40" s="2026" t="s">
        <v>563</v>
      </c>
      <c r="I40" s="2026" t="s">
        <v>563</v>
      </c>
      <c r="J40" s="2026" t="s">
        <v>563</v>
      </c>
      <c r="K40" s="2026" t="s">
        <v>563</v>
      </c>
      <c r="L40" s="2026" t="s">
        <v>563</v>
      </c>
      <c r="M40" s="2026" t="s">
        <v>563</v>
      </c>
      <c r="N40" s="2026" t="s">
        <v>563</v>
      </c>
      <c r="O40" s="1448" t="s">
        <v>564</v>
      </c>
      <c r="P40" s="2326"/>
      <c r="Q40" s="2326"/>
      <c r="R40" s="2326"/>
      <c r="S40" s="2326"/>
      <c r="T40" s="2326"/>
      <c r="U40" s="2327"/>
      <c r="V40" s="2327"/>
      <c r="W40" s="2327"/>
      <c r="X40" s="2327"/>
      <c r="Y40" s="1289"/>
      <c r="Z40" s="671"/>
      <c r="AA40" s="1289"/>
      <c r="AB40" s="1289"/>
      <c r="AC40" s="1289"/>
      <c r="AD40" s="1289"/>
      <c r="AE40" s="1289"/>
      <c r="AF40" s="1555"/>
      <c r="AG40" s="1555"/>
      <c r="AH40" s="1555"/>
      <c r="AI40" s="1555"/>
      <c r="AJ40" s="1555"/>
      <c r="AK40" s="1558">
        <v>0</v>
      </c>
    </row>
    <row r="41" spans="1:37" s="558" customFormat="1" ht="0.75" hidden="1" customHeight="1">
      <c r="A41" s="2597"/>
      <c r="B41" s="2353" t="str">
        <f>E33&amp;".0"</f>
        <v>2.2.0</v>
      </c>
      <c r="C41" s="1247"/>
      <c r="D41" s="1247"/>
      <c r="E41" s="485"/>
      <c r="F41" s="486" t="s">
        <v>565</v>
      </c>
      <c r="G41" s="1296"/>
      <c r="H41" s="1296">
        <f t="shared" ref="H41:N41" si="8">H42*H43+H44</f>
        <v>0</v>
      </c>
      <c r="I41" s="1296">
        <f t="shared" si="8"/>
        <v>2010634.9149066331</v>
      </c>
      <c r="J41" s="1296">
        <f t="shared" si="8"/>
        <v>10421.849509560288</v>
      </c>
      <c r="K41" s="1296">
        <f t="shared" si="8"/>
        <v>0</v>
      </c>
      <c r="L41" s="1296">
        <f t="shared" si="8"/>
        <v>0</v>
      </c>
      <c r="M41" s="1296">
        <f t="shared" si="8"/>
        <v>0</v>
      </c>
      <c r="N41" s="1296">
        <f t="shared" si="8"/>
        <v>1397387.6690091779</v>
      </c>
      <c r="O41" s="1299"/>
      <c r="P41" s="2326"/>
      <c r="Q41" s="2326"/>
      <c r="R41" s="2326"/>
      <c r="S41" s="2326"/>
      <c r="T41" s="2326"/>
      <c r="U41" s="2327"/>
      <c r="V41" s="2327"/>
      <c r="W41" s="2327"/>
      <c r="X41" s="2327"/>
      <c r="Y41" s="1565"/>
      <c r="Z41" s="1565"/>
      <c r="AA41" s="1565"/>
      <c r="AB41" s="1565"/>
      <c r="AC41" s="1565"/>
      <c r="AD41" s="1565"/>
      <c r="AE41" s="1565"/>
      <c r="AF41" s="1565"/>
      <c r="AG41" s="1565"/>
      <c r="AH41" s="1565"/>
      <c r="AI41" s="1565"/>
      <c r="AJ41" s="1565"/>
      <c r="AK41" s="1565">
        <v>0</v>
      </c>
    </row>
    <row r="42" spans="1:37" s="1767" customFormat="1" ht="23.25" customHeight="1">
      <c r="A42" s="2596"/>
      <c r="B42" s="2353" t="str">
        <f>E33&amp;".0"</f>
        <v>2.2.0</v>
      </c>
      <c r="C42" s="1247"/>
      <c r="D42" s="2016"/>
      <c r="E42" s="482" t="str">
        <f>B40&amp;".1"</f>
        <v>2.2.1.1</v>
      </c>
      <c r="F42" s="489" t="s">
        <v>566</v>
      </c>
      <c r="G42" s="490" t="s">
        <v>587</v>
      </c>
      <c r="H42" s="686"/>
      <c r="I42" s="686">
        <v>292413.371652</v>
      </c>
      <c r="J42" s="686">
        <v>1245.5840000000001</v>
      </c>
      <c r="K42" s="686"/>
      <c r="L42" s="686"/>
      <c r="M42" s="686"/>
      <c r="N42" s="686">
        <v>195478.14742299999</v>
      </c>
      <c r="O42" s="1448" t="s">
        <v>567</v>
      </c>
      <c r="P42" s="2326"/>
      <c r="Q42" s="2326"/>
      <c r="R42" s="2326"/>
      <c r="S42" s="2326"/>
      <c r="T42" s="2326"/>
      <c r="U42" s="2327"/>
      <c r="V42" s="2327"/>
      <c r="W42" s="2327"/>
      <c r="X42" s="2327"/>
      <c r="Y42" s="1289"/>
      <c r="Z42" s="671"/>
      <c r="AA42" s="1289"/>
      <c r="AB42" s="1289"/>
      <c r="AC42" s="1289"/>
      <c r="AD42" s="1289"/>
      <c r="AE42" s="1289"/>
      <c r="AF42" s="1555"/>
      <c r="AG42" s="1555"/>
      <c r="AH42" s="1555"/>
      <c r="AI42" s="1555"/>
      <c r="AJ42" s="1555"/>
      <c r="AK42" s="1558">
        <v>0</v>
      </c>
    </row>
    <row r="43" spans="1:37" s="1767" customFormat="1" ht="18.75" customHeight="1">
      <c r="A43" s="2596"/>
      <c r="B43" s="2353" t="str">
        <f>E33&amp;".0"</f>
        <v>2.2.0</v>
      </c>
      <c r="C43" s="1247"/>
      <c r="D43" s="2016"/>
      <c r="E43" s="482" t="str">
        <f>B40&amp;".2"</f>
        <v>2.2.1.2</v>
      </c>
      <c r="F43" s="489" t="s">
        <v>568</v>
      </c>
      <c r="G43" s="2026" t="s">
        <v>569</v>
      </c>
      <c r="H43" s="686"/>
      <c r="I43" s="686">
        <f>5999.691185/1000</f>
        <v>5.9996911849999996</v>
      </c>
      <c r="J43" s="686">
        <f>6785.858682/1000</f>
        <v>6.7858586819999998</v>
      </c>
      <c r="K43" s="686"/>
      <c r="L43" s="686"/>
      <c r="M43" s="686"/>
      <c r="N43" s="686">
        <f>6007.885309/1000</f>
        <v>6.0078853090000006</v>
      </c>
      <c r="O43" s="1448"/>
      <c r="P43" s="2326"/>
      <c r="Q43" s="2326"/>
      <c r="R43" s="2326"/>
      <c r="S43" s="2326"/>
      <c r="T43" s="2326"/>
      <c r="U43" s="2327"/>
      <c r="V43" s="2327"/>
      <c r="W43" s="2327"/>
      <c r="X43" s="2327"/>
      <c r="Y43" s="1289"/>
      <c r="Z43" s="671"/>
      <c r="AA43" s="1289"/>
      <c r="AB43" s="1289"/>
      <c r="AC43" s="1289"/>
      <c r="AD43" s="1289"/>
      <c r="AE43" s="1289"/>
      <c r="AF43" s="1555"/>
      <c r="AG43" s="1555"/>
      <c r="AH43" s="1555"/>
      <c r="AI43" s="1555"/>
      <c r="AJ43" s="1555"/>
      <c r="AK43" s="1558">
        <v>0</v>
      </c>
    </row>
    <row r="44" spans="1:37" s="1767" customFormat="1" ht="18.75" customHeight="1">
      <c r="A44" s="2596"/>
      <c r="B44" s="2353" t="str">
        <f>E33&amp;".0"</f>
        <v>2.2.0</v>
      </c>
      <c r="C44" s="1247"/>
      <c r="D44" s="2016"/>
      <c r="E44" s="482" t="str">
        <f>B40&amp;".3"</f>
        <v>2.2.1.3</v>
      </c>
      <c r="F44" s="489" t="s">
        <v>570</v>
      </c>
      <c r="G44" s="2026" t="s">
        <v>569</v>
      </c>
      <c r="H44" s="686"/>
      <c r="I44" s="686">
        <v>256244.98663</v>
      </c>
      <c r="J44" s="686">
        <v>1969.4925089999999</v>
      </c>
      <c r="K44" s="686"/>
      <c r="L44" s="686"/>
      <c r="M44" s="686"/>
      <c r="N44" s="686">
        <v>222977.378876</v>
      </c>
      <c r="O44" s="1448"/>
      <c r="P44" s="2326"/>
      <c r="Q44" s="2326"/>
      <c r="R44" s="2326"/>
      <c r="S44" s="2326"/>
      <c r="T44" s="2326"/>
      <c r="U44" s="2327"/>
      <c r="V44" s="2327"/>
      <c r="W44" s="2327"/>
      <c r="X44" s="2327"/>
      <c r="Y44" s="1289"/>
      <c r="Z44" s="671"/>
      <c r="AA44" s="1289"/>
      <c r="AB44" s="1289"/>
      <c r="AC44" s="1289"/>
      <c r="AD44" s="1289"/>
      <c r="AE44" s="1289"/>
      <c r="AF44" s="1555"/>
      <c r="AG44" s="1555"/>
      <c r="AH44" s="1555"/>
      <c r="AI44" s="1555"/>
      <c r="AJ44" s="1555"/>
      <c r="AK44" s="1558">
        <v>0</v>
      </c>
    </row>
    <row r="45" spans="1:37" s="1767" customFormat="1" ht="18.75" customHeight="1">
      <c r="A45" s="2596"/>
      <c r="B45" s="2353" t="str">
        <f>E33&amp;".0"</f>
        <v>2.2.0</v>
      </c>
      <c r="C45" s="1247"/>
      <c r="D45" s="2016"/>
      <c r="E45" s="482" t="str">
        <f>B40&amp;".4"</f>
        <v>2.2.1.4</v>
      </c>
      <c r="F45" s="489" t="s">
        <v>571</v>
      </c>
      <c r="G45" s="2026" t="s">
        <v>563</v>
      </c>
      <c r="H45" s="491"/>
      <c r="I45" s="491" t="s">
        <v>588</v>
      </c>
      <c r="J45" s="491" t="s">
        <v>588</v>
      </c>
      <c r="K45" s="491"/>
      <c r="L45" s="491"/>
      <c r="M45" s="491"/>
      <c r="N45" s="491" t="s">
        <v>588</v>
      </c>
      <c r="O45" s="1448"/>
      <c r="P45" s="2326"/>
      <c r="Q45" s="2326"/>
      <c r="R45" s="2326"/>
      <c r="S45" s="2326"/>
      <c r="T45" s="2326"/>
      <c r="U45" s="2327"/>
      <c r="V45" s="2327"/>
      <c r="W45" s="2327"/>
      <c r="X45" s="2327"/>
      <c r="Y45" s="1289"/>
      <c r="Z45" s="671"/>
      <c r="AA45" s="1289"/>
      <c r="AB45" s="1289"/>
      <c r="AC45" s="1289"/>
      <c r="AD45" s="1289"/>
      <c r="AE45" s="1289"/>
      <c r="AF45" s="1555"/>
      <c r="AG45" s="1555"/>
      <c r="AH45" s="1555"/>
      <c r="AI45" s="1555"/>
      <c r="AJ45" s="1555"/>
      <c r="AK45" s="1558">
        <v>0</v>
      </c>
    </row>
    <row r="46" spans="1:37" s="1767" customFormat="1" ht="23.25" customHeight="1">
      <c r="A46" s="2596"/>
      <c r="B46" s="2353" t="str">
        <f>E33&amp;".2"</f>
        <v>2.2.2</v>
      </c>
      <c r="C46" s="1247" t="s">
        <v>562</v>
      </c>
      <c r="D46" s="619" t="s">
        <v>104</v>
      </c>
      <c r="E46" s="482" t="str">
        <f>B46</f>
        <v>2.2.2</v>
      </c>
      <c r="F46" s="483" t="s">
        <v>589</v>
      </c>
      <c r="G46" s="2026" t="s">
        <v>563</v>
      </c>
      <c r="H46" s="2026" t="s">
        <v>563</v>
      </c>
      <c r="I46" s="2026" t="s">
        <v>563</v>
      </c>
      <c r="J46" s="2026" t="s">
        <v>563</v>
      </c>
      <c r="K46" s="2026" t="s">
        <v>563</v>
      </c>
      <c r="L46" s="2026" t="s">
        <v>563</v>
      </c>
      <c r="M46" s="2026" t="s">
        <v>563</v>
      </c>
      <c r="N46" s="2026" t="s">
        <v>563</v>
      </c>
      <c r="O46" s="1448" t="s">
        <v>564</v>
      </c>
      <c r="P46" s="2326"/>
      <c r="Q46" s="2326"/>
      <c r="R46" s="2326"/>
      <c r="S46" s="2326"/>
      <c r="T46" s="2326"/>
      <c r="U46" s="2327"/>
      <c r="V46" s="2327"/>
      <c r="W46" s="2327"/>
      <c r="X46" s="2327"/>
      <c r="Y46" s="1289"/>
      <c r="Z46" s="671"/>
      <c r="AA46" s="1289"/>
      <c r="AB46" s="1289"/>
      <c r="AC46" s="1289"/>
      <c r="AD46" s="1289"/>
      <c r="AE46" s="1289"/>
      <c r="AF46" s="1555"/>
      <c r="AG46" s="1555"/>
      <c r="AH46" s="1555"/>
      <c r="AI46" s="1555"/>
      <c r="AJ46" s="1555"/>
      <c r="AK46" s="1558">
        <v>0</v>
      </c>
    </row>
    <row r="47" spans="1:37" s="558" customFormat="1" ht="0.75" hidden="1" customHeight="1">
      <c r="A47" s="2597"/>
      <c r="B47" s="2353" t="str">
        <f>E33&amp;".1"</f>
        <v>2.2.1</v>
      </c>
      <c r="C47" s="1247"/>
      <c r="D47" s="1247"/>
      <c r="E47" s="485"/>
      <c r="F47" s="486" t="s">
        <v>565</v>
      </c>
      <c r="G47" s="1296"/>
      <c r="H47" s="1296">
        <f t="shared" ref="H47:N47" si="9">H48*H49+H50</f>
        <v>0</v>
      </c>
      <c r="I47" s="1296">
        <f t="shared" si="9"/>
        <v>261.54475045517995</v>
      </c>
      <c r="J47" s="1296">
        <f t="shared" si="9"/>
        <v>0</v>
      </c>
      <c r="K47" s="1296">
        <f t="shared" si="9"/>
        <v>0</v>
      </c>
      <c r="L47" s="1296">
        <f t="shared" si="9"/>
        <v>0</v>
      </c>
      <c r="M47" s="1296">
        <f t="shared" si="9"/>
        <v>0</v>
      </c>
      <c r="N47" s="1296">
        <f t="shared" si="9"/>
        <v>106366.61613932833</v>
      </c>
      <c r="O47" s="1299"/>
      <c r="P47" s="2326"/>
      <c r="Q47" s="2326"/>
      <c r="R47" s="2326"/>
      <c r="S47" s="2326"/>
      <c r="T47" s="2326"/>
      <c r="U47" s="2327"/>
      <c r="V47" s="2327"/>
      <c r="W47" s="2327"/>
      <c r="X47" s="2327"/>
      <c r="Y47" s="1565"/>
      <c r="Z47" s="1565"/>
      <c r="AA47" s="1565"/>
      <c r="AB47" s="1565"/>
      <c r="AC47" s="1565"/>
      <c r="AD47" s="1565"/>
      <c r="AE47" s="1565"/>
      <c r="AF47" s="1565"/>
      <c r="AG47" s="1565"/>
      <c r="AH47" s="1565"/>
      <c r="AI47" s="1565"/>
      <c r="AJ47" s="1565"/>
      <c r="AK47" s="1565">
        <v>0</v>
      </c>
    </row>
    <row r="48" spans="1:37" s="1767" customFormat="1" ht="23.25" customHeight="1">
      <c r="A48" s="2596"/>
      <c r="B48" s="2353" t="str">
        <f>E33&amp;".1"</f>
        <v>2.2.1</v>
      </c>
      <c r="C48" s="1247"/>
      <c r="D48" s="2016"/>
      <c r="E48" s="482" t="str">
        <f>B46&amp;".1"</f>
        <v>2.2.2.1</v>
      </c>
      <c r="F48" s="489" t="s">
        <v>566</v>
      </c>
      <c r="G48" s="490" t="s">
        <v>590</v>
      </c>
      <c r="H48" s="686"/>
      <c r="I48" s="686">
        <v>10.11</v>
      </c>
      <c r="J48" s="686"/>
      <c r="K48" s="686"/>
      <c r="L48" s="686"/>
      <c r="M48" s="686"/>
      <c r="N48" s="686">
        <v>3380.1469999999999</v>
      </c>
      <c r="O48" s="1448" t="s">
        <v>567</v>
      </c>
      <c r="P48" s="2326"/>
      <c r="Q48" s="2326"/>
      <c r="R48" s="2326"/>
      <c r="S48" s="2326"/>
      <c r="T48" s="2326"/>
      <c r="U48" s="2327"/>
      <c r="V48" s="2327"/>
      <c r="W48" s="2327"/>
      <c r="X48" s="2327"/>
      <c r="Y48" s="1289"/>
      <c r="Z48" s="671"/>
      <c r="AA48" s="1289"/>
      <c r="AB48" s="1289"/>
      <c r="AC48" s="1289"/>
      <c r="AD48" s="1289"/>
      <c r="AE48" s="1289"/>
      <c r="AF48" s="1555"/>
      <c r="AG48" s="1555"/>
      <c r="AH48" s="1555"/>
      <c r="AI48" s="1555"/>
      <c r="AJ48" s="1555"/>
      <c r="AK48" s="1558">
        <v>0</v>
      </c>
    </row>
    <row r="49" spans="1:37" s="1767" customFormat="1" ht="18.75" customHeight="1">
      <c r="A49" s="2596"/>
      <c r="B49" s="2353" t="str">
        <f>E33&amp;".1"</f>
        <v>2.2.1</v>
      </c>
      <c r="C49" s="1247"/>
      <c r="D49" s="2016"/>
      <c r="E49" s="482" t="str">
        <f>B46&amp;".2"</f>
        <v>2.2.2.2</v>
      </c>
      <c r="F49" s="489" t="s">
        <v>568</v>
      </c>
      <c r="G49" s="2026" t="s">
        <v>569</v>
      </c>
      <c r="H49" s="686"/>
      <c r="I49" s="686">
        <f>15900.846138/1000</f>
        <v>15.900846138</v>
      </c>
      <c r="J49" s="686"/>
      <c r="K49" s="686"/>
      <c r="L49" s="686"/>
      <c r="M49" s="686"/>
      <c r="N49" s="686">
        <f>22671.855975/1000</f>
        <v>22.671855975</v>
      </c>
      <c r="O49" s="1448"/>
      <c r="P49" s="2326"/>
      <c r="Q49" s="2326"/>
      <c r="R49" s="2326"/>
      <c r="S49" s="2326"/>
      <c r="T49" s="2326"/>
      <c r="U49" s="2327"/>
      <c r="V49" s="2327"/>
      <c r="W49" s="2327"/>
      <c r="X49" s="2327"/>
      <c r="Y49" s="1289"/>
      <c r="Z49" s="671"/>
      <c r="AA49" s="1289"/>
      <c r="AB49" s="1289"/>
      <c r="AC49" s="1289"/>
      <c r="AD49" s="1289"/>
      <c r="AE49" s="1289"/>
      <c r="AF49" s="1555"/>
      <c r="AG49" s="1555"/>
      <c r="AH49" s="1555"/>
      <c r="AI49" s="1555"/>
      <c r="AJ49" s="1555"/>
      <c r="AK49" s="1558">
        <v>0</v>
      </c>
    </row>
    <row r="50" spans="1:37" s="1767" customFormat="1" ht="18.75" customHeight="1">
      <c r="A50" s="2596"/>
      <c r="B50" s="2353" t="str">
        <f>E33&amp;".1"</f>
        <v>2.2.1</v>
      </c>
      <c r="C50" s="1247"/>
      <c r="D50" s="2016"/>
      <c r="E50" s="482" t="str">
        <f>B46&amp;".3"</f>
        <v>2.2.2.3</v>
      </c>
      <c r="F50" s="489" t="s">
        <v>570</v>
      </c>
      <c r="G50" s="2026" t="s">
        <v>569</v>
      </c>
      <c r="H50" s="686"/>
      <c r="I50" s="686">
        <v>100.78719599999999</v>
      </c>
      <c r="J50" s="686"/>
      <c r="K50" s="686"/>
      <c r="L50" s="686"/>
      <c r="M50" s="686"/>
      <c r="N50" s="686">
        <v>29732.410180999999</v>
      </c>
      <c r="O50" s="1448"/>
      <c r="P50" s="2326"/>
      <c r="Q50" s="2326"/>
      <c r="R50" s="2326"/>
      <c r="S50" s="2326"/>
      <c r="T50" s="2326"/>
      <c r="U50" s="2327"/>
      <c r="V50" s="2327"/>
      <c r="W50" s="2327"/>
      <c r="X50" s="2327"/>
      <c r="Y50" s="1289"/>
      <c r="Z50" s="671"/>
      <c r="AA50" s="1289"/>
      <c r="AB50" s="1289"/>
      <c r="AC50" s="1289"/>
      <c r="AD50" s="1289"/>
      <c r="AE50" s="1289"/>
      <c r="AF50" s="1555"/>
      <c r="AG50" s="1555"/>
      <c r="AH50" s="1555"/>
      <c r="AI50" s="1555"/>
      <c r="AJ50" s="1555"/>
      <c r="AK50" s="1558">
        <v>0</v>
      </c>
    </row>
    <row r="51" spans="1:37" s="1767" customFormat="1" ht="18.75" customHeight="1">
      <c r="A51" s="2596"/>
      <c r="B51" s="2353" t="str">
        <f>E33&amp;".1"</f>
        <v>2.2.1</v>
      </c>
      <c r="C51" s="1247"/>
      <c r="D51" s="2016"/>
      <c r="E51" s="482" t="str">
        <f>B46&amp;".4"</f>
        <v>2.2.2.4</v>
      </c>
      <c r="F51" s="489" t="s">
        <v>571</v>
      </c>
      <c r="G51" s="2026" t="s">
        <v>563</v>
      </c>
      <c r="H51" s="491"/>
      <c r="I51" s="491" t="s">
        <v>591</v>
      </c>
      <c r="J51" s="491"/>
      <c r="K51" s="491"/>
      <c r="L51" s="491"/>
      <c r="M51" s="491"/>
      <c r="N51" s="491" t="s">
        <v>591</v>
      </c>
      <c r="O51" s="1448"/>
      <c r="P51" s="2326"/>
      <c r="Q51" s="2326"/>
      <c r="R51" s="2326"/>
      <c r="S51" s="2326"/>
      <c r="T51" s="2326"/>
      <c r="U51" s="2327"/>
      <c r="V51" s="2327"/>
      <c r="W51" s="2327"/>
      <c r="X51" s="2327"/>
      <c r="Y51" s="1289"/>
      <c r="Z51" s="671"/>
      <c r="AA51" s="1289"/>
      <c r="AB51" s="1289"/>
      <c r="AC51" s="1289"/>
      <c r="AD51" s="1289"/>
      <c r="AE51" s="1289"/>
      <c r="AF51" s="1555"/>
      <c r="AG51" s="1555"/>
      <c r="AH51" s="1555"/>
      <c r="AI51" s="1555"/>
      <c r="AJ51" s="1555"/>
      <c r="AK51" s="1558">
        <v>0</v>
      </c>
    </row>
    <row r="52" spans="1:37" s="1767" customFormat="1" ht="23.25" customHeight="1">
      <c r="A52" s="2596"/>
      <c r="B52" s="2353" t="str">
        <f>E33&amp;".3"</f>
        <v>2.2.3</v>
      </c>
      <c r="C52" s="1247" t="s">
        <v>562</v>
      </c>
      <c r="D52" s="619" t="s">
        <v>104</v>
      </c>
      <c r="E52" s="482" t="str">
        <f>B52</f>
        <v>2.2.3</v>
      </c>
      <c r="F52" s="483" t="s">
        <v>592</v>
      </c>
      <c r="G52" s="2026" t="s">
        <v>563</v>
      </c>
      <c r="H52" s="2026" t="s">
        <v>563</v>
      </c>
      <c r="I52" s="2026" t="s">
        <v>563</v>
      </c>
      <c r="J52" s="2026" t="s">
        <v>563</v>
      </c>
      <c r="K52" s="2026" t="s">
        <v>563</v>
      </c>
      <c r="L52" s="2026" t="s">
        <v>563</v>
      </c>
      <c r="M52" s="2026" t="s">
        <v>563</v>
      </c>
      <c r="N52" s="2026" t="s">
        <v>563</v>
      </c>
      <c r="O52" s="1448" t="s">
        <v>564</v>
      </c>
      <c r="P52" s="2326"/>
      <c r="Q52" s="2326"/>
      <c r="R52" s="2326"/>
      <c r="S52" s="2326"/>
      <c r="T52" s="2326"/>
      <c r="U52" s="2327"/>
      <c r="V52" s="2327"/>
      <c r="W52" s="2327"/>
      <c r="X52" s="2327"/>
      <c r="Y52" s="1289"/>
      <c r="Z52" s="671"/>
      <c r="AA52" s="1289"/>
      <c r="AB52" s="1289"/>
      <c r="AC52" s="1289"/>
      <c r="AD52" s="1289"/>
      <c r="AE52" s="1289"/>
      <c r="AF52" s="1555"/>
      <c r="AG52" s="1555"/>
      <c r="AH52" s="1555"/>
      <c r="AI52" s="1555"/>
      <c r="AJ52" s="1555"/>
      <c r="AK52" s="1558">
        <v>0</v>
      </c>
    </row>
    <row r="53" spans="1:37" s="558" customFormat="1" ht="0.75" hidden="1" customHeight="1">
      <c r="A53" s="2597"/>
      <c r="B53" s="2353" t="str">
        <f>E33&amp;".2"</f>
        <v>2.2.2</v>
      </c>
      <c r="C53" s="1247"/>
      <c r="D53" s="1247"/>
      <c r="E53" s="485"/>
      <c r="F53" s="486" t="s">
        <v>565</v>
      </c>
      <c r="G53" s="1296"/>
      <c r="H53" s="1296">
        <f t="shared" ref="H53:N53" si="10">H54*H55+H56</f>
        <v>0</v>
      </c>
      <c r="I53" s="1296">
        <f t="shared" si="10"/>
        <v>0</v>
      </c>
      <c r="J53" s="1296">
        <f t="shared" si="10"/>
        <v>13589.208790566001</v>
      </c>
      <c r="K53" s="1296">
        <f t="shared" si="10"/>
        <v>0</v>
      </c>
      <c r="L53" s="1296">
        <f t="shared" si="10"/>
        <v>0</v>
      </c>
      <c r="M53" s="1296">
        <f t="shared" si="10"/>
        <v>0</v>
      </c>
      <c r="N53" s="1296">
        <f t="shared" si="10"/>
        <v>1341107.653491626</v>
      </c>
      <c r="O53" s="1299"/>
      <c r="P53" s="2326"/>
      <c r="Q53" s="2326"/>
      <c r="R53" s="2326"/>
      <c r="S53" s="2326"/>
      <c r="T53" s="2326"/>
      <c r="U53" s="2327"/>
      <c r="V53" s="2327"/>
      <c r="W53" s="2327"/>
      <c r="X53" s="2327"/>
      <c r="Y53" s="1565"/>
      <c r="Z53" s="1565"/>
      <c r="AA53" s="1565"/>
      <c r="AB53" s="1565"/>
      <c r="AC53" s="1565"/>
      <c r="AD53" s="1565"/>
      <c r="AE53" s="1565"/>
      <c r="AF53" s="1565"/>
      <c r="AG53" s="1565"/>
      <c r="AH53" s="1565"/>
      <c r="AI53" s="1565"/>
      <c r="AJ53" s="1565"/>
      <c r="AK53" s="1565">
        <v>0</v>
      </c>
    </row>
    <row r="54" spans="1:37" s="1767" customFormat="1" ht="23.25" customHeight="1">
      <c r="A54" s="2596"/>
      <c r="B54" s="2353" t="str">
        <f>E33&amp;".2"</f>
        <v>2.2.2</v>
      </c>
      <c r="C54" s="1247"/>
      <c r="D54" s="2016"/>
      <c r="E54" s="482" t="str">
        <f>B52&amp;".1"</f>
        <v>2.2.3.1</v>
      </c>
      <c r="F54" s="489" t="s">
        <v>566</v>
      </c>
      <c r="G54" s="490" t="s">
        <v>590</v>
      </c>
      <c r="H54" s="686"/>
      <c r="I54" s="686"/>
      <c r="J54" s="686">
        <v>1506</v>
      </c>
      <c r="K54" s="686"/>
      <c r="L54" s="686"/>
      <c r="M54" s="686"/>
      <c r="N54" s="686">
        <v>227832.34899999999</v>
      </c>
      <c r="O54" s="1448" t="s">
        <v>567</v>
      </c>
      <c r="P54" s="2326"/>
      <c r="Q54" s="2326"/>
      <c r="R54" s="2326"/>
      <c r="S54" s="2326"/>
      <c r="T54" s="2326"/>
      <c r="U54" s="2327"/>
      <c r="V54" s="2327"/>
      <c r="W54" s="2327"/>
      <c r="X54" s="2327"/>
      <c r="Y54" s="1289"/>
      <c r="Z54" s="671"/>
      <c r="AA54" s="1289"/>
      <c r="AB54" s="1289"/>
      <c r="AC54" s="1289"/>
      <c r="AD54" s="1289"/>
      <c r="AE54" s="1289"/>
      <c r="AF54" s="1555"/>
      <c r="AG54" s="1555"/>
      <c r="AH54" s="1555"/>
      <c r="AI54" s="1555"/>
      <c r="AJ54" s="1555"/>
      <c r="AK54" s="1558">
        <v>0</v>
      </c>
    </row>
    <row r="55" spans="1:37" s="1767" customFormat="1" ht="18.75" customHeight="1">
      <c r="A55" s="2596"/>
      <c r="B55" s="2353" t="str">
        <f>E33&amp;".2"</f>
        <v>2.2.2</v>
      </c>
      <c r="C55" s="1247"/>
      <c r="D55" s="2016"/>
      <c r="E55" s="482" t="str">
        <f>B52&amp;".2"</f>
        <v>2.2.3.2</v>
      </c>
      <c r="F55" s="489" t="s">
        <v>568</v>
      </c>
      <c r="G55" s="2026" t="s">
        <v>569</v>
      </c>
      <c r="H55" s="686"/>
      <c r="I55" s="686"/>
      <c r="J55" s="686">
        <f>3414.279011/1000</f>
        <v>3.4142790110000001</v>
      </c>
      <c r="K55" s="686"/>
      <c r="L55" s="686"/>
      <c r="M55" s="686"/>
      <c r="N55" s="686">
        <f>2146.46804/1000</f>
        <v>2.1464680400000002</v>
      </c>
      <c r="O55" s="1448"/>
      <c r="P55" s="2326"/>
      <c r="Q55" s="2326"/>
      <c r="R55" s="2326"/>
      <c r="S55" s="2326"/>
      <c r="T55" s="2326"/>
      <c r="U55" s="2327"/>
      <c r="V55" s="2327"/>
      <c r="W55" s="2327"/>
      <c r="X55" s="2327"/>
      <c r="Y55" s="1289"/>
      <c r="Z55" s="671"/>
      <c r="AA55" s="1289"/>
      <c r="AB55" s="1289"/>
      <c r="AC55" s="1289"/>
      <c r="AD55" s="1289"/>
      <c r="AE55" s="1289"/>
      <c r="AF55" s="1555"/>
      <c r="AG55" s="1555"/>
      <c r="AH55" s="1555"/>
      <c r="AI55" s="1555"/>
      <c r="AJ55" s="1555"/>
      <c r="AK55" s="1558">
        <v>0</v>
      </c>
    </row>
    <row r="56" spans="1:37" s="1767" customFormat="1" ht="18.75" customHeight="1">
      <c r="A56" s="2596"/>
      <c r="B56" s="2353" t="str">
        <f>E33&amp;".2"</f>
        <v>2.2.2</v>
      </c>
      <c r="C56" s="1247"/>
      <c r="D56" s="2016"/>
      <c r="E56" s="482" t="str">
        <f>B52&amp;".3"</f>
        <v>2.2.3.3</v>
      </c>
      <c r="F56" s="489" t="s">
        <v>570</v>
      </c>
      <c r="G56" s="2026" t="s">
        <v>569</v>
      </c>
      <c r="H56" s="686"/>
      <c r="I56" s="686"/>
      <c r="J56" s="686">
        <v>8447.3045999999995</v>
      </c>
      <c r="K56" s="686"/>
      <c r="L56" s="686"/>
      <c r="M56" s="686"/>
      <c r="N56" s="686">
        <v>852072.79788500001</v>
      </c>
      <c r="O56" s="1448"/>
      <c r="P56" s="2326"/>
      <c r="Q56" s="2326"/>
      <c r="R56" s="2326"/>
      <c r="S56" s="2326"/>
      <c r="T56" s="2326"/>
      <c r="U56" s="2327"/>
      <c r="V56" s="2327"/>
      <c r="W56" s="2327"/>
      <c r="X56" s="2327"/>
      <c r="Y56" s="1289"/>
      <c r="Z56" s="671"/>
      <c r="AA56" s="1289"/>
      <c r="AB56" s="1289"/>
      <c r="AC56" s="1289"/>
      <c r="AD56" s="1289"/>
      <c r="AE56" s="1289"/>
      <c r="AF56" s="1555"/>
      <c r="AG56" s="1555"/>
      <c r="AH56" s="1555"/>
      <c r="AI56" s="1555"/>
      <c r="AJ56" s="1555"/>
      <c r="AK56" s="1558">
        <v>0</v>
      </c>
    </row>
    <row r="57" spans="1:37" s="1767" customFormat="1" ht="18.75" customHeight="1">
      <c r="A57" s="2596"/>
      <c r="B57" s="2353" t="str">
        <f>E33&amp;".2"</f>
        <v>2.2.2</v>
      </c>
      <c r="C57" s="1247"/>
      <c r="D57" s="2016"/>
      <c r="E57" s="482" t="str">
        <f>B52&amp;".4"</f>
        <v>2.2.3.4</v>
      </c>
      <c r="F57" s="489" t="s">
        <v>571</v>
      </c>
      <c r="G57" s="2026" t="s">
        <v>563</v>
      </c>
      <c r="H57" s="491"/>
      <c r="I57" s="491"/>
      <c r="J57" s="491" t="s">
        <v>591</v>
      </c>
      <c r="K57" s="491"/>
      <c r="L57" s="491"/>
      <c r="M57" s="491"/>
      <c r="N57" s="491" t="s">
        <v>591</v>
      </c>
      <c r="O57" s="1448"/>
      <c r="P57" s="2326"/>
      <c r="Q57" s="2326"/>
      <c r="R57" s="2326"/>
      <c r="S57" s="2326"/>
      <c r="T57" s="2326"/>
      <c r="U57" s="2327"/>
      <c r="V57" s="2327"/>
      <c r="W57" s="2327"/>
      <c r="X57" s="2327"/>
      <c r="Y57" s="1289"/>
      <c r="Z57" s="671"/>
      <c r="AA57" s="1289"/>
      <c r="AB57" s="1289"/>
      <c r="AC57" s="1289"/>
      <c r="AD57" s="1289"/>
      <c r="AE57" s="1289"/>
      <c r="AF57" s="1555"/>
      <c r="AG57" s="1555"/>
      <c r="AH57" s="1555"/>
      <c r="AI57" s="1555"/>
      <c r="AJ57" s="1555"/>
      <c r="AK57" s="1558">
        <v>0</v>
      </c>
    </row>
    <row r="58" spans="1:37" s="1767" customFormat="1" ht="23.25" customHeight="1">
      <c r="A58" s="2596"/>
      <c r="B58" s="2353" t="str">
        <f>E33&amp;".4"</f>
        <v>2.2.4</v>
      </c>
      <c r="C58" s="1247" t="s">
        <v>562</v>
      </c>
      <c r="D58" s="619" t="s">
        <v>104</v>
      </c>
      <c r="E58" s="482" t="str">
        <f>B58</f>
        <v>2.2.4</v>
      </c>
      <c r="F58" s="483" t="s">
        <v>593</v>
      </c>
      <c r="G58" s="2026" t="s">
        <v>563</v>
      </c>
      <c r="H58" s="2026" t="s">
        <v>563</v>
      </c>
      <c r="I58" s="2026" t="s">
        <v>563</v>
      </c>
      <c r="J58" s="2026" t="s">
        <v>563</v>
      </c>
      <c r="K58" s="2026" t="s">
        <v>563</v>
      </c>
      <c r="L58" s="2026" t="s">
        <v>563</v>
      </c>
      <c r="M58" s="2026" t="s">
        <v>563</v>
      </c>
      <c r="N58" s="2026" t="s">
        <v>563</v>
      </c>
      <c r="O58" s="1448" t="s">
        <v>564</v>
      </c>
      <c r="P58" s="2326"/>
      <c r="Q58" s="2326"/>
      <c r="R58" s="2326"/>
      <c r="S58" s="2326"/>
      <c r="T58" s="2326"/>
      <c r="U58" s="2327"/>
      <c r="V58" s="2327"/>
      <c r="W58" s="2327"/>
      <c r="X58" s="2327"/>
      <c r="Y58" s="1289"/>
      <c r="Z58" s="671"/>
      <c r="AA58" s="1289"/>
      <c r="AB58" s="1289"/>
      <c r="AC58" s="1289"/>
      <c r="AD58" s="1289"/>
      <c r="AE58" s="1289"/>
      <c r="AF58" s="1555"/>
      <c r="AG58" s="1555"/>
      <c r="AH58" s="1555"/>
      <c r="AI58" s="1555"/>
      <c r="AJ58" s="1555"/>
      <c r="AK58" s="1558">
        <v>0</v>
      </c>
    </row>
    <row r="59" spans="1:37" s="558" customFormat="1" ht="0.75" hidden="1" customHeight="1">
      <c r="A59" s="2597"/>
      <c r="B59" s="2353" t="str">
        <f>E33&amp;".3"</f>
        <v>2.2.3</v>
      </c>
      <c r="C59" s="1247"/>
      <c r="D59" s="1247"/>
      <c r="E59" s="485"/>
      <c r="F59" s="486" t="s">
        <v>565</v>
      </c>
      <c r="G59" s="1296"/>
      <c r="H59" s="1296">
        <f t="shared" ref="H59:N59" si="11">H60*H61+H62</f>
        <v>0</v>
      </c>
      <c r="I59" s="1296">
        <f t="shared" si="11"/>
        <v>0</v>
      </c>
      <c r="J59" s="1296">
        <f t="shared" si="11"/>
        <v>811.68426000054501</v>
      </c>
      <c r="K59" s="1296">
        <f t="shared" si="11"/>
        <v>0</v>
      </c>
      <c r="L59" s="1296">
        <f t="shared" si="11"/>
        <v>0</v>
      </c>
      <c r="M59" s="1296">
        <f t="shared" si="11"/>
        <v>0</v>
      </c>
      <c r="N59" s="1296">
        <f t="shared" si="11"/>
        <v>0</v>
      </c>
      <c r="O59" s="1299"/>
      <c r="P59" s="2326"/>
      <c r="Q59" s="2326"/>
      <c r="R59" s="2326"/>
      <c r="S59" s="2326"/>
      <c r="T59" s="2326"/>
      <c r="U59" s="2327"/>
      <c r="V59" s="2327"/>
      <c r="W59" s="2327"/>
      <c r="X59" s="2327"/>
      <c r="Y59" s="1565"/>
      <c r="Z59" s="1565"/>
      <c r="AA59" s="1565"/>
      <c r="AB59" s="1565"/>
      <c r="AC59" s="1565"/>
      <c r="AD59" s="1565"/>
      <c r="AE59" s="1565"/>
      <c r="AF59" s="1565"/>
      <c r="AG59" s="1565"/>
      <c r="AH59" s="1565"/>
      <c r="AI59" s="1565"/>
      <c r="AJ59" s="1565"/>
      <c r="AK59" s="1565">
        <v>0</v>
      </c>
    </row>
    <row r="60" spans="1:37" s="1767" customFormat="1" ht="23.25" customHeight="1">
      <c r="A60" s="2596"/>
      <c r="B60" s="2353" t="str">
        <f>E33&amp;".3"</f>
        <v>2.2.3</v>
      </c>
      <c r="C60" s="1247"/>
      <c r="D60" s="2016"/>
      <c r="E60" s="482" t="str">
        <f>B58&amp;".1"</f>
        <v>2.2.4.1</v>
      </c>
      <c r="F60" s="489" t="s">
        <v>566</v>
      </c>
      <c r="G60" s="490" t="s">
        <v>590</v>
      </c>
      <c r="H60" s="686"/>
      <c r="I60" s="686"/>
      <c r="J60" s="686">
        <v>10.8566</v>
      </c>
      <c r="K60" s="686"/>
      <c r="L60" s="686"/>
      <c r="M60" s="686"/>
      <c r="N60" s="686"/>
      <c r="O60" s="1448" t="s">
        <v>567</v>
      </c>
      <c r="P60" s="2326"/>
      <c r="Q60" s="2326"/>
      <c r="R60" s="2326"/>
      <c r="S60" s="2326"/>
      <c r="T60" s="2326"/>
      <c r="U60" s="2327"/>
      <c r="V60" s="2327"/>
      <c r="W60" s="2327"/>
      <c r="X60" s="2327"/>
      <c r="Y60" s="1289"/>
      <c r="Z60" s="671"/>
      <c r="AA60" s="1289"/>
      <c r="AB60" s="1289"/>
      <c r="AC60" s="1289"/>
      <c r="AD60" s="1289"/>
      <c r="AE60" s="1289"/>
      <c r="AF60" s="1555"/>
      <c r="AG60" s="1555"/>
      <c r="AH60" s="1555"/>
      <c r="AI60" s="1555"/>
      <c r="AJ60" s="1555"/>
      <c r="AK60" s="1558">
        <v>0</v>
      </c>
    </row>
    <row r="61" spans="1:37" s="1767" customFormat="1" ht="18.75" customHeight="1">
      <c r="A61" s="2596"/>
      <c r="B61" s="2353" t="str">
        <f>E33&amp;".3"</f>
        <v>2.2.3</v>
      </c>
      <c r="C61" s="1247"/>
      <c r="D61" s="2016"/>
      <c r="E61" s="482" t="str">
        <f>B58&amp;".2"</f>
        <v>2.2.4.2</v>
      </c>
      <c r="F61" s="489" t="s">
        <v>568</v>
      </c>
      <c r="G61" s="2026" t="s">
        <v>569</v>
      </c>
      <c r="H61" s="686"/>
      <c r="I61" s="686"/>
      <c r="J61" s="686">
        <f>74764.130575/1000</f>
        <v>74.764130574999996</v>
      </c>
      <c r="K61" s="686"/>
      <c r="L61" s="686"/>
      <c r="M61" s="686"/>
      <c r="N61" s="686"/>
      <c r="O61" s="1448"/>
      <c r="P61" s="2326"/>
      <c r="Q61" s="2326"/>
      <c r="R61" s="2326"/>
      <c r="S61" s="2326"/>
      <c r="T61" s="2326"/>
      <c r="U61" s="2327"/>
      <c r="V61" s="2327"/>
      <c r="W61" s="2327"/>
      <c r="X61" s="2327"/>
      <c r="Y61" s="1289"/>
      <c r="Z61" s="671"/>
      <c r="AA61" s="1289"/>
      <c r="AB61" s="1289"/>
      <c r="AC61" s="1289"/>
      <c r="AD61" s="1289"/>
      <c r="AE61" s="1289"/>
      <c r="AF61" s="1555"/>
      <c r="AG61" s="1555"/>
      <c r="AH61" s="1555"/>
      <c r="AI61" s="1555"/>
      <c r="AJ61" s="1555"/>
      <c r="AK61" s="1558">
        <v>0</v>
      </c>
    </row>
    <row r="62" spans="1:37" s="1767" customFormat="1" ht="18.75" customHeight="1">
      <c r="A62" s="2596"/>
      <c r="B62" s="2353" t="str">
        <f>E33&amp;".3"</f>
        <v>2.2.3</v>
      </c>
      <c r="C62" s="1247"/>
      <c r="D62" s="2016"/>
      <c r="E62" s="482" t="str">
        <f>B58&amp;".3"</f>
        <v>2.2.4.3</v>
      </c>
      <c r="F62" s="489" t="s">
        <v>570</v>
      </c>
      <c r="G62" s="2026" t="s">
        <v>569</v>
      </c>
      <c r="H62" s="686"/>
      <c r="I62" s="686"/>
      <c r="J62" s="686"/>
      <c r="K62" s="686"/>
      <c r="L62" s="686"/>
      <c r="M62" s="686"/>
      <c r="N62" s="686"/>
      <c r="O62" s="1448"/>
      <c r="P62" s="2326"/>
      <c r="Q62" s="2326"/>
      <c r="R62" s="2326"/>
      <c r="S62" s="2326"/>
      <c r="T62" s="2326"/>
      <c r="U62" s="2327"/>
      <c r="V62" s="2327"/>
      <c r="W62" s="2327"/>
      <c r="X62" s="2327"/>
      <c r="Y62" s="1289"/>
      <c r="Z62" s="671"/>
      <c r="AA62" s="1289"/>
      <c r="AB62" s="1289"/>
      <c r="AC62" s="1289"/>
      <c r="AD62" s="1289"/>
      <c r="AE62" s="1289"/>
      <c r="AF62" s="1555"/>
      <c r="AG62" s="1555"/>
      <c r="AH62" s="1555"/>
      <c r="AI62" s="1555"/>
      <c r="AJ62" s="1555"/>
      <c r="AK62" s="1558">
        <v>0</v>
      </c>
    </row>
    <row r="63" spans="1:37" s="1767" customFormat="1" ht="18.75" customHeight="1">
      <c r="A63" s="2596"/>
      <c r="B63" s="2353" t="str">
        <f>E33&amp;".3"</f>
        <v>2.2.3</v>
      </c>
      <c r="C63" s="1247"/>
      <c r="D63" s="2016"/>
      <c r="E63" s="482" t="str">
        <f>B58&amp;".4"</f>
        <v>2.2.4.4</v>
      </c>
      <c r="F63" s="489" t="s">
        <v>571</v>
      </c>
      <c r="G63" s="2026" t="s">
        <v>563</v>
      </c>
      <c r="H63" s="491"/>
      <c r="I63" s="491"/>
      <c r="J63" s="491" t="s">
        <v>591</v>
      </c>
      <c r="K63" s="491"/>
      <c r="L63" s="491"/>
      <c r="M63" s="491"/>
      <c r="N63" s="491"/>
      <c r="O63" s="1448"/>
      <c r="P63" s="2326"/>
      <c r="Q63" s="2326"/>
      <c r="R63" s="2326"/>
      <c r="S63" s="2326"/>
      <c r="T63" s="2326"/>
      <c r="U63" s="2327"/>
      <c r="V63" s="2327"/>
      <c r="W63" s="2327"/>
      <c r="X63" s="2327"/>
      <c r="Y63" s="1289"/>
      <c r="Z63" s="671"/>
      <c r="AA63" s="1289"/>
      <c r="AB63" s="1289"/>
      <c r="AC63" s="1289"/>
      <c r="AD63" s="1289"/>
      <c r="AE63" s="1289"/>
      <c r="AF63" s="1555"/>
      <c r="AG63" s="1555"/>
      <c r="AH63" s="1555"/>
      <c r="AI63" s="1555"/>
      <c r="AJ63" s="1555"/>
      <c r="AK63" s="1558">
        <v>0</v>
      </c>
    </row>
    <row r="64" spans="1:37" s="1289" customFormat="1" ht="15" customHeight="1">
      <c r="A64" s="2595"/>
      <c r="C64" s="1559"/>
      <c r="D64" s="1556"/>
      <c r="E64" s="506"/>
      <c r="F64" s="507" t="s">
        <v>594</v>
      </c>
      <c r="G64" s="508"/>
      <c r="H64" s="509"/>
      <c r="I64" s="509"/>
      <c r="J64" s="2059"/>
      <c r="K64" s="2060"/>
      <c r="L64" s="2061"/>
      <c r="M64" s="2062"/>
      <c r="N64" s="2063"/>
      <c r="O64" s="238"/>
      <c r="P64" s="2326" t="str">
        <f t="shared" ref="P64:P94" si="12">IF((LEN(E64)-LEN(SUBSTITUTE(E64,".","")))/LEN(".")=1,"p","")</f>
        <v/>
      </c>
      <c r="Q64" s="2326"/>
      <c r="R64" s="2326"/>
      <c r="S64" s="2326"/>
      <c r="T64" s="2326"/>
      <c r="U64" s="2327"/>
      <c r="V64" s="2327"/>
      <c r="W64" s="2327"/>
      <c r="X64" s="2327"/>
      <c r="Z64" s="480"/>
      <c r="AF64" s="1555"/>
      <c r="AG64" s="1555"/>
      <c r="AH64" s="1555"/>
      <c r="AI64" s="1555"/>
      <c r="AJ64" s="1555"/>
      <c r="AK64" s="1083">
        <v>0</v>
      </c>
    </row>
    <row r="65" spans="1:37" ht="11.25" hidden="1" customHeight="1">
      <c r="A65" s="2595" t="s">
        <v>595</v>
      </c>
      <c r="D65" s="1561"/>
      <c r="E65" s="482" t="str">
        <f>FHD_NUM_P_5</f>
        <v/>
      </c>
      <c r="F65" s="1447" t="str">
        <f>FHD_P_5</f>
        <v/>
      </c>
      <c r="G65" s="1795" t="s">
        <v>569</v>
      </c>
      <c r="H65" s="493"/>
      <c r="I65" s="493"/>
      <c r="J65" s="493"/>
      <c r="K65" s="493"/>
      <c r="L65" s="493"/>
      <c r="M65" s="493"/>
      <c r="N65" s="493"/>
      <c r="O65" s="226" t="str">
        <f>FHD_NOTE_P_5</f>
        <v/>
      </c>
      <c r="P65" s="2326" t="str">
        <f t="shared" si="12"/>
        <v/>
      </c>
      <c r="AK65" s="1554">
        <v>0</v>
      </c>
    </row>
    <row r="66" spans="1:37" ht="11.25" hidden="1" customHeight="1">
      <c r="A66" s="2595"/>
      <c r="D66" s="1561"/>
      <c r="E66" s="482" t="str">
        <f>FHD_NUM_P_6</f>
        <v/>
      </c>
      <c r="F66" s="1447" t="str">
        <f>FHD_P_6</f>
        <v/>
      </c>
      <c r="G66" s="1795" t="s">
        <v>569</v>
      </c>
      <c r="H66" s="493"/>
      <c r="I66" s="493"/>
      <c r="J66" s="493"/>
      <c r="K66" s="493"/>
      <c r="L66" s="493"/>
      <c r="M66" s="493"/>
      <c r="N66" s="493"/>
      <c r="O66" s="226" t="str">
        <f>FHD_NOTE_P_6</f>
        <v/>
      </c>
      <c r="P66" s="2326" t="str">
        <f t="shared" si="12"/>
        <v/>
      </c>
      <c r="AK66" s="1554">
        <v>0</v>
      </c>
    </row>
    <row r="67" spans="1:37" ht="11.25" hidden="1" customHeight="1">
      <c r="A67" s="2595"/>
      <c r="D67" s="1561"/>
      <c r="E67" s="482" t="str">
        <f>FHD_NUM_P_7</f>
        <v/>
      </c>
      <c r="F67" s="1447" t="str">
        <f>FHD_P_7</f>
        <v/>
      </c>
      <c r="G67" s="1795" t="s">
        <v>569</v>
      </c>
      <c r="H67" s="493"/>
      <c r="I67" s="493"/>
      <c r="J67" s="493"/>
      <c r="K67" s="493"/>
      <c r="L67" s="493"/>
      <c r="M67" s="493"/>
      <c r="N67" s="493"/>
      <c r="O67" s="226" t="str">
        <f>FHD_NOTE_P_7</f>
        <v/>
      </c>
      <c r="P67" s="2326" t="str">
        <f t="shared" si="12"/>
        <v/>
      </c>
      <c r="AK67" s="1554">
        <v>0</v>
      </c>
    </row>
    <row r="68" spans="1:37" ht="21.75" customHeight="1">
      <c r="D68" s="1561"/>
      <c r="E68" s="482" t="str">
        <f>FHD_NUM_P_8</f>
        <v>2.3</v>
      </c>
      <c r="F68" s="1447" t="str">
        <f>FHD_P_8</f>
        <v>Расходы на приобретаемую электрическую энергию (мощность), используемую в технологическом процессе</v>
      </c>
      <c r="G68" s="1795" t="s">
        <v>569</v>
      </c>
      <c r="H68" s="493"/>
      <c r="I68" s="493">
        <v>151.38586100000001</v>
      </c>
      <c r="J68" s="493">
        <v>3718.1769989999998</v>
      </c>
      <c r="K68" s="493">
        <v>71227.933399999994</v>
      </c>
      <c r="L68" s="493">
        <v>0</v>
      </c>
      <c r="M68" s="493">
        <v>19156.827436</v>
      </c>
      <c r="N68" s="493">
        <v>220.07404199999999</v>
      </c>
      <c r="O68" s="226" t="str">
        <f>FHD_NOTE_P_8</f>
        <v/>
      </c>
      <c r="P68" s="2326" t="str">
        <f t="shared" si="12"/>
        <v>p</v>
      </c>
      <c r="Q68" s="2328">
        <f>I68+J68+K68+M68+N68</f>
        <v>94474.397738</v>
      </c>
      <c r="AK68" s="1554">
        <v>11</v>
      </c>
    </row>
    <row r="69" spans="1:37" ht="21" customHeight="1">
      <c r="D69" s="1561"/>
      <c r="E69" s="482" t="str">
        <f>FHD_NUM_P_9</f>
        <v>2.3.1</v>
      </c>
      <c r="F69" s="1573" t="str">
        <f>FHD_P_9</f>
        <v>Средневзвешенная стоимость 1 кВт.ч (с учетом мощности)</v>
      </c>
      <c r="G69" s="1795" t="s">
        <v>596</v>
      </c>
      <c r="H69" s="493"/>
      <c r="I69" s="493">
        <v>9.6455260000000003</v>
      </c>
      <c r="J69" s="493">
        <v>11.306634000000001</v>
      </c>
      <c r="K69" s="493">
        <v>7.2963440000000004</v>
      </c>
      <c r="L69" s="493">
        <v>0</v>
      </c>
      <c r="M69" s="493">
        <v>7.983263</v>
      </c>
      <c r="N69" s="493">
        <v>9.6429050000000007</v>
      </c>
      <c r="O69" s="226" t="str">
        <f>FHD_NOTE_P_9</f>
        <v/>
      </c>
      <c r="P69" s="2326" t="str">
        <f t="shared" si="12"/>
        <v/>
      </c>
      <c r="Q69" s="2328">
        <f t="shared" ref="Q69:Q132" si="13">I69+J69+K69+M69+N69</f>
        <v>45.874671999999997</v>
      </c>
      <c r="AK69" s="1554">
        <v>11</v>
      </c>
    </row>
    <row r="70" spans="1:37" s="1289" customFormat="1" ht="21" customHeight="1">
      <c r="A70" s="914"/>
      <c r="C70" s="1559"/>
      <c r="D70" s="510"/>
      <c r="E70" s="482" t="str">
        <f>FHD_NUM_P_10</f>
        <v>2.3.2</v>
      </c>
      <c r="F70" s="1573" t="str">
        <f>FHD_P_10</f>
        <v>Объём приобретения электрической энергии</v>
      </c>
      <c r="G70" s="1795" t="s">
        <v>597</v>
      </c>
      <c r="H70" s="493"/>
      <c r="I70" s="493">
        <v>15.694929999999999</v>
      </c>
      <c r="J70" s="493">
        <v>328.849155</v>
      </c>
      <c r="K70" s="493">
        <v>9762.1405309999991</v>
      </c>
      <c r="L70" s="493">
        <v>0</v>
      </c>
      <c r="M70" s="493">
        <v>2399.623826</v>
      </c>
      <c r="N70" s="493">
        <v>22.822379000000002</v>
      </c>
      <c r="O70" s="226" t="str">
        <f>FHD_NOTE_P_10</f>
        <v/>
      </c>
      <c r="P70" s="2326" t="str">
        <f t="shared" si="12"/>
        <v/>
      </c>
      <c r="Q70" s="2328">
        <f t="shared" si="13"/>
        <v>12529.130820999997</v>
      </c>
      <c r="R70" s="2326"/>
      <c r="S70" s="2326"/>
      <c r="T70" s="2326"/>
      <c r="U70" s="2327"/>
      <c r="V70" s="2327"/>
      <c r="W70" s="2327"/>
      <c r="X70" s="2327"/>
      <c r="Z70" s="480"/>
      <c r="AF70" s="1555"/>
      <c r="AG70" s="1555"/>
      <c r="AH70" s="1555"/>
      <c r="AI70" s="1555"/>
      <c r="AJ70" s="1555"/>
      <c r="AK70" s="1083">
        <v>11</v>
      </c>
    </row>
    <row r="71" spans="1:37" s="1289" customFormat="1" ht="25.5" customHeight="1">
      <c r="A71" s="916" t="s">
        <v>598</v>
      </c>
      <c r="C71" s="1559"/>
      <c r="D71" s="511"/>
      <c r="E71" s="482" t="str">
        <f>FHD_NUM_P_11</f>
        <v>2.4</v>
      </c>
      <c r="F71" s="1447" t="str">
        <f>FHD_P_11</f>
        <v>Расходы на приобретение холодной воды, используемой в технологическом процессе</v>
      </c>
      <c r="G71" s="1795" t="s">
        <v>569</v>
      </c>
      <c r="H71" s="493"/>
      <c r="I71" s="493">
        <v>0</v>
      </c>
      <c r="J71" s="493">
        <v>226.53532000000001</v>
      </c>
      <c r="K71" s="493">
        <v>0</v>
      </c>
      <c r="L71" s="493">
        <v>344526.83834999998</v>
      </c>
      <c r="M71" s="493">
        <v>0</v>
      </c>
      <c r="N71" s="493">
        <v>24086.727072999998</v>
      </c>
      <c r="O71" s="226" t="str">
        <f>FHD_NOTE_P_11</f>
        <v/>
      </c>
      <c r="P71" s="2326" t="str">
        <f t="shared" si="12"/>
        <v>p</v>
      </c>
      <c r="Q71" s="2328">
        <f t="shared" si="13"/>
        <v>24313.262392999997</v>
      </c>
      <c r="R71" s="2326"/>
      <c r="S71" s="2326"/>
      <c r="T71" s="2326"/>
      <c r="U71" s="2327"/>
      <c r="V71" s="2327"/>
      <c r="W71" s="2327"/>
      <c r="X71" s="2327"/>
      <c r="Z71" s="480"/>
      <c r="AF71" s="1555"/>
      <c r="AG71" s="1555"/>
      <c r="AH71" s="1555"/>
      <c r="AI71" s="1555"/>
      <c r="AJ71" s="1555"/>
      <c r="AK71" s="1083">
        <v>0</v>
      </c>
    </row>
    <row r="72" spans="1:37" s="1289" customFormat="1" ht="18.75" customHeight="1">
      <c r="A72" s="916" t="s">
        <v>599</v>
      </c>
      <c r="C72" s="1559"/>
      <c r="D72" s="1561"/>
      <c r="E72" s="482" t="str">
        <f>FHD_NUM_P_12</f>
        <v>2.5</v>
      </c>
      <c r="F72" s="1447" t="str">
        <f>FHD_P_12</f>
        <v>Расходы на  химические реагенты, используемые в технологическом процессе</v>
      </c>
      <c r="G72" s="1795" t="s">
        <v>569</v>
      </c>
      <c r="H72" s="513"/>
      <c r="I72" s="513">
        <v>17532.551844000001</v>
      </c>
      <c r="J72" s="513">
        <v>82.799499999999995</v>
      </c>
      <c r="K72" s="513">
        <v>0</v>
      </c>
      <c r="L72" s="513">
        <v>0</v>
      </c>
      <c r="M72" s="513">
        <v>0</v>
      </c>
      <c r="N72" s="513">
        <v>21267.218233</v>
      </c>
      <c r="O72" s="226" t="str">
        <f>FHD_NOTE_P_12</f>
        <v/>
      </c>
      <c r="P72" s="2326" t="str">
        <f t="shared" si="12"/>
        <v>p</v>
      </c>
      <c r="Q72" s="2328">
        <f t="shared" si="13"/>
        <v>38882.569577000002</v>
      </c>
      <c r="R72" s="2326"/>
      <c r="S72" s="2326"/>
      <c r="T72" s="2326"/>
      <c r="U72" s="2327"/>
      <c r="V72" s="2327"/>
      <c r="W72" s="2327"/>
      <c r="X72" s="2327"/>
      <c r="Z72" s="480"/>
      <c r="AF72" s="1555"/>
      <c r="AG72" s="1555"/>
      <c r="AH72" s="1555"/>
      <c r="AI72" s="1555"/>
      <c r="AJ72" s="1555"/>
      <c r="AK72" s="1083">
        <v>18</v>
      </c>
    </row>
    <row r="73" spans="1:37" s="1288" customFormat="1" ht="39" customHeight="1">
      <c r="A73" s="915"/>
      <c r="C73" s="666"/>
      <c r="D73" s="609"/>
      <c r="E73" s="482" t="str">
        <f>FHD_NUM_P_13</f>
        <v>2.6</v>
      </c>
      <c r="F73" s="144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73" s="1795" t="s">
        <v>569</v>
      </c>
      <c r="H73" s="493"/>
      <c r="I73" s="493">
        <f t="shared" ref="I73:N73" si="14">I74+I75</f>
        <v>180799.80055099999</v>
      </c>
      <c r="J73" s="493">
        <f t="shared" si="14"/>
        <v>22480.761601999999</v>
      </c>
      <c r="K73" s="493">
        <f t="shared" si="14"/>
        <v>214778.40139300001</v>
      </c>
      <c r="L73" s="493">
        <f t="shared" si="14"/>
        <v>19973.29796</v>
      </c>
      <c r="M73" s="493">
        <f t="shared" si="14"/>
        <v>238931.16185199999</v>
      </c>
      <c r="N73" s="493">
        <f t="shared" si="14"/>
        <v>433680.53630099999</v>
      </c>
      <c r="O73" s="226" t="str">
        <f>FHD_NOTE_P_13</f>
        <v/>
      </c>
      <c r="P73" s="2326" t="str">
        <f t="shared" si="12"/>
        <v>p</v>
      </c>
      <c r="Q73" s="2328">
        <f t="shared" si="13"/>
        <v>1090670.661699</v>
      </c>
      <c r="R73" s="2329"/>
      <c r="S73" s="2329"/>
      <c r="T73" s="2329"/>
      <c r="U73" s="2330"/>
      <c r="V73" s="2330"/>
      <c r="W73" s="2330"/>
      <c r="X73" s="2330"/>
      <c r="Z73" s="667"/>
      <c r="AF73" s="668"/>
      <c r="AG73" s="668"/>
      <c r="AH73" s="668"/>
      <c r="AI73" s="668"/>
      <c r="AJ73" s="668"/>
      <c r="AK73" s="665">
        <v>11</v>
      </c>
    </row>
    <row r="74" spans="1:37" s="1288" customFormat="1" ht="24" customHeight="1">
      <c r="A74" s="915"/>
      <c r="C74" s="666"/>
      <c r="D74" s="609"/>
      <c r="E74" s="482" t="str">
        <f>FHD_NUM_P_14</f>
        <v>2.6.1</v>
      </c>
      <c r="F74" s="1573" t="str">
        <f>FHD_P_14</f>
        <v>Расходы на оплату труда основного производственного персонала</v>
      </c>
      <c r="G74" s="1795" t="s">
        <v>569</v>
      </c>
      <c r="H74" s="493"/>
      <c r="I74" s="493">
        <v>137533.86725700001</v>
      </c>
      <c r="J74" s="493">
        <v>16805.689351000001</v>
      </c>
      <c r="K74" s="493">
        <v>166179.16832900001</v>
      </c>
      <c r="L74" s="493">
        <v>15380.47286</v>
      </c>
      <c r="M74" s="493">
        <v>183907.734196</v>
      </c>
      <c r="N74" s="493">
        <v>327906.39065299998</v>
      </c>
      <c r="O74" s="226" t="str">
        <f>FHD_NOTE_P_14</f>
        <v/>
      </c>
      <c r="P74" s="2326" t="str">
        <f t="shared" si="12"/>
        <v/>
      </c>
      <c r="Q74" s="2328">
        <f t="shared" si="13"/>
        <v>832332.84978599998</v>
      </c>
      <c r="R74" s="2329"/>
      <c r="S74" s="2329"/>
      <c r="T74" s="2329"/>
      <c r="U74" s="2330"/>
      <c r="V74" s="2330"/>
      <c r="W74" s="2330"/>
      <c r="X74" s="2330"/>
      <c r="Z74" s="667"/>
      <c r="AF74" s="668"/>
      <c r="AG74" s="668"/>
      <c r="AH74" s="668"/>
      <c r="AI74" s="668"/>
      <c r="AJ74" s="668"/>
      <c r="AK74" s="665">
        <v>11</v>
      </c>
    </row>
    <row r="75" spans="1:37" s="1288" customFormat="1" ht="39" customHeight="1">
      <c r="A75" s="915"/>
      <c r="C75" s="666"/>
      <c r="D75" s="609"/>
      <c r="E75" s="482" t="str">
        <f>FHD_NUM_P_15</f>
        <v>2.6.2</v>
      </c>
      <c r="F75" s="1573" t="str">
        <f>FHD_P_15</f>
        <v>Страховые взносы на обязательное социальное страхование, выплачиваемые из фонда оплаты труда основного производственного персонала</v>
      </c>
      <c r="G75" s="1795" t="s">
        <v>569</v>
      </c>
      <c r="H75" s="493"/>
      <c r="I75" s="493">
        <v>43265.933294000002</v>
      </c>
      <c r="J75" s="493">
        <v>5675.0722509999996</v>
      </c>
      <c r="K75" s="493">
        <v>48599.233064</v>
      </c>
      <c r="L75" s="493">
        <v>4592.8251</v>
      </c>
      <c r="M75" s="493">
        <v>55023.427656</v>
      </c>
      <c r="N75" s="493">
        <v>105774.14564800001</v>
      </c>
      <c r="O75" s="226" t="str">
        <f>FHD_NOTE_P_15</f>
        <v/>
      </c>
      <c r="P75" s="2326" t="str">
        <f t="shared" si="12"/>
        <v/>
      </c>
      <c r="Q75" s="2328">
        <f t="shared" si="13"/>
        <v>258337.81191300001</v>
      </c>
      <c r="R75" s="2329"/>
      <c r="S75" s="2329"/>
      <c r="T75" s="2329"/>
      <c r="U75" s="2330"/>
      <c r="V75" s="2330"/>
      <c r="W75" s="2330"/>
      <c r="X75" s="2330"/>
      <c r="Z75" s="667"/>
      <c r="AF75" s="668"/>
      <c r="AG75" s="668"/>
      <c r="AH75" s="668"/>
      <c r="AI75" s="668"/>
      <c r="AJ75" s="668"/>
      <c r="AK75" s="665">
        <v>11</v>
      </c>
    </row>
    <row r="76" spans="1:37" s="1289" customFormat="1" ht="53.25" customHeight="1">
      <c r="A76" s="914"/>
      <c r="C76" s="1559"/>
      <c r="D76" s="1561"/>
      <c r="E76" s="482" t="str">
        <f>FHD_NUM_P_16</f>
        <v>2.7</v>
      </c>
      <c r="F76" s="144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76" s="1795" t="s">
        <v>569</v>
      </c>
      <c r="H76" s="493"/>
      <c r="I76" s="493">
        <f t="shared" ref="I76:N76" si="15">I77+I78</f>
        <v>155367.88722400001</v>
      </c>
      <c r="J76" s="493">
        <f t="shared" si="15"/>
        <v>10434.226132</v>
      </c>
      <c r="K76" s="493">
        <f t="shared" si="15"/>
        <v>96063.991665000009</v>
      </c>
      <c r="L76" s="493">
        <f t="shared" si="15"/>
        <v>0</v>
      </c>
      <c r="M76" s="493">
        <f t="shared" si="15"/>
        <v>76118.168332999994</v>
      </c>
      <c r="N76" s="493">
        <f t="shared" si="15"/>
        <v>220586.31256799999</v>
      </c>
      <c r="O76" s="226" t="str">
        <f>FHD_NOTE_P_16</f>
        <v/>
      </c>
      <c r="P76" s="2326" t="str">
        <f t="shared" si="12"/>
        <v>p</v>
      </c>
      <c r="Q76" s="2328">
        <f t="shared" si="13"/>
        <v>558570.585922</v>
      </c>
      <c r="R76" s="2326"/>
      <c r="S76" s="2326"/>
      <c r="T76" s="2326"/>
      <c r="U76" s="2327"/>
      <c r="V76" s="2327"/>
      <c r="W76" s="2327"/>
      <c r="X76" s="2327"/>
      <c r="Z76" s="480"/>
      <c r="AF76" s="1555"/>
      <c r="AG76" s="1555"/>
      <c r="AH76" s="1555"/>
      <c r="AI76" s="1555"/>
      <c r="AJ76" s="1555"/>
      <c r="AK76" s="1083">
        <v>11</v>
      </c>
    </row>
    <row r="77" spans="1:37" s="1289" customFormat="1" ht="30" customHeight="1">
      <c r="A77" s="914"/>
      <c r="C77" s="1559"/>
      <c r="D77" s="1561"/>
      <c r="E77" s="482" t="str">
        <f>FHD_NUM_P_17</f>
        <v>2.7.1</v>
      </c>
      <c r="F77" s="1573" t="str">
        <f>FHD_P_17</f>
        <v>Расходы на оплату труда административно-управленческого персонала</v>
      </c>
      <c r="G77" s="1795" t="s">
        <v>569</v>
      </c>
      <c r="H77" s="493"/>
      <c r="I77" s="493">
        <v>120032.44553</v>
      </c>
      <c r="J77" s="493">
        <v>8183.2397410000003</v>
      </c>
      <c r="K77" s="493">
        <v>73768.327231000003</v>
      </c>
      <c r="L77" s="493">
        <v>0</v>
      </c>
      <c r="M77" s="493">
        <v>59173.744960999997</v>
      </c>
      <c r="N77" s="493">
        <v>170979.90434400001</v>
      </c>
      <c r="O77" s="226" t="str">
        <f>FHD_NOTE_P_17</f>
        <v/>
      </c>
      <c r="P77" s="2326" t="str">
        <f t="shared" si="12"/>
        <v/>
      </c>
      <c r="Q77" s="2328">
        <f t="shared" si="13"/>
        <v>432137.661807</v>
      </c>
      <c r="R77" s="2326"/>
      <c r="S77" s="2326"/>
      <c r="T77" s="2326"/>
      <c r="U77" s="2327"/>
      <c r="V77" s="2327"/>
      <c r="W77" s="2327"/>
      <c r="X77" s="2327"/>
      <c r="Z77" s="480"/>
      <c r="AF77" s="1555"/>
      <c r="AG77" s="1555"/>
      <c r="AH77" s="1555"/>
      <c r="AI77" s="1555"/>
      <c r="AJ77" s="1555"/>
      <c r="AK77" s="1083">
        <v>11</v>
      </c>
    </row>
    <row r="78" spans="1:37" s="1289" customFormat="1" ht="28.5" customHeight="1">
      <c r="A78" s="914"/>
      <c r="C78" s="1559"/>
      <c r="D78" s="1561"/>
      <c r="E78" s="482" t="str">
        <f>FHD_NUM_P_18</f>
        <v>2.7.2</v>
      </c>
      <c r="F78" s="1573" t="str">
        <f>FHD_P_18</f>
        <v>Страховые взносы на обязательное социальное страхование, выплачиваемые из фонда оплаты труда административно-управленческого персонала</v>
      </c>
      <c r="G78" s="1795" t="s">
        <v>569</v>
      </c>
      <c r="H78" s="493"/>
      <c r="I78" s="493">
        <v>35335.441694000001</v>
      </c>
      <c r="J78" s="493">
        <v>2250.9863909999999</v>
      </c>
      <c r="K78" s="493">
        <v>22295.664433999998</v>
      </c>
      <c r="L78" s="493">
        <v>0</v>
      </c>
      <c r="M78" s="493">
        <v>16944.423372000001</v>
      </c>
      <c r="N78" s="493">
        <v>49606.408223999999</v>
      </c>
      <c r="O78" s="226" t="str">
        <f>FHD_NOTE_P_18</f>
        <v/>
      </c>
      <c r="P78" s="2326" t="str">
        <f t="shared" si="12"/>
        <v/>
      </c>
      <c r="Q78" s="2328">
        <f t="shared" si="13"/>
        <v>126432.924115</v>
      </c>
      <c r="R78" s="2326"/>
      <c r="S78" s="2326"/>
      <c r="T78" s="2326"/>
      <c r="U78" s="2327"/>
      <c r="V78" s="2327"/>
      <c r="W78" s="2327"/>
      <c r="X78" s="2327"/>
      <c r="Z78" s="480"/>
      <c r="AF78" s="1555"/>
      <c r="AG78" s="1555"/>
      <c r="AH78" s="1555"/>
      <c r="AI78" s="1555"/>
      <c r="AJ78" s="1555"/>
      <c r="AK78" s="1083">
        <v>11</v>
      </c>
    </row>
    <row r="79" spans="1:37" s="1289" customFormat="1" ht="28.5" customHeight="1">
      <c r="A79" s="914"/>
      <c r="C79" s="1559"/>
      <c r="D79" s="511"/>
      <c r="E79" s="482" t="str">
        <f>FHD_NUM_P_19</f>
        <v>2.8</v>
      </c>
      <c r="F79" s="1447" t="str">
        <f>FHD_P_19</f>
        <v>Расходы на амортизацию основных средств и нематериальных активов</v>
      </c>
      <c r="G79" s="1795" t="s">
        <v>569</v>
      </c>
      <c r="H79" s="493"/>
      <c r="I79" s="493">
        <f t="shared" ref="I79:N79" si="16">I80+I81</f>
        <v>44977.404823999997</v>
      </c>
      <c r="J79" s="493">
        <f t="shared" si="16"/>
        <v>2649.578763</v>
      </c>
      <c r="K79" s="493">
        <f t="shared" si="16"/>
        <v>126067.974357</v>
      </c>
      <c r="L79" s="493">
        <f t="shared" si="16"/>
        <v>1225.3839599999999</v>
      </c>
      <c r="M79" s="493">
        <f t="shared" si="16"/>
        <v>76050.878190999996</v>
      </c>
      <c r="N79" s="493">
        <f t="shared" si="16"/>
        <v>75107.334763000006</v>
      </c>
      <c r="O79" s="226" t="str">
        <f>FHD_NOTE_P_19</f>
        <v/>
      </c>
      <c r="P79" s="2326" t="str">
        <f t="shared" si="12"/>
        <v>p</v>
      </c>
      <c r="Q79" s="2328">
        <f t="shared" si="13"/>
        <v>324853.17089800001</v>
      </c>
      <c r="R79" s="2326"/>
      <c r="S79" s="2326"/>
      <c r="T79" s="2326"/>
      <c r="U79" s="2327"/>
      <c r="V79" s="2327"/>
      <c r="W79" s="2327"/>
      <c r="X79" s="2327"/>
      <c r="Z79" s="480"/>
      <c r="AF79" s="1555"/>
      <c r="AG79" s="1555"/>
      <c r="AH79" s="1555"/>
      <c r="AI79" s="1555"/>
      <c r="AJ79" s="1555"/>
      <c r="AK79" s="1083">
        <v>11</v>
      </c>
    </row>
    <row r="80" spans="1:37" s="1289" customFormat="1" ht="11.45" customHeight="1">
      <c r="A80" s="914"/>
      <c r="C80" s="1559"/>
      <c r="D80" s="511"/>
      <c r="E80" s="482" t="str">
        <f>FHD_NUM_P_20</f>
        <v>2.8.1</v>
      </c>
      <c r="F80" s="1573" t="str">
        <f>FHD_P_20</f>
        <v>Расходы на амортизацию основных средств</v>
      </c>
      <c r="G80" s="1795" t="s">
        <v>569</v>
      </c>
      <c r="H80" s="493"/>
      <c r="I80" s="493">
        <v>44977.404823999997</v>
      </c>
      <c r="J80" s="493">
        <v>2649.578763</v>
      </c>
      <c r="K80" s="493">
        <v>126067.974357</v>
      </c>
      <c r="L80" s="493">
        <v>1225.3839599999999</v>
      </c>
      <c r="M80" s="493">
        <v>76050.878190999996</v>
      </c>
      <c r="N80" s="493">
        <v>75107.334763000006</v>
      </c>
      <c r="O80" s="226" t="str">
        <f>FHD_NOTE_P_20</f>
        <v/>
      </c>
      <c r="P80" s="2326" t="str">
        <f t="shared" si="12"/>
        <v/>
      </c>
      <c r="Q80" s="2328">
        <f t="shared" si="13"/>
        <v>324853.17089800001</v>
      </c>
      <c r="R80" s="2326"/>
      <c r="S80" s="2326"/>
      <c r="T80" s="2326"/>
      <c r="U80" s="2327"/>
      <c r="V80" s="2327"/>
      <c r="W80" s="2327"/>
      <c r="X80" s="2327"/>
      <c r="Z80" s="480"/>
      <c r="AF80" s="1555"/>
      <c r="AG80" s="1555"/>
      <c r="AH80" s="1555"/>
      <c r="AI80" s="1555"/>
      <c r="AJ80" s="1555"/>
      <c r="AK80" s="1083">
        <v>11</v>
      </c>
    </row>
    <row r="81" spans="1:37" s="1289" customFormat="1" ht="11.45" customHeight="1">
      <c r="A81" s="914"/>
      <c r="C81" s="1559"/>
      <c r="D81" s="511"/>
      <c r="E81" s="482" t="str">
        <f>FHD_NUM_P_21</f>
        <v>2.8.2</v>
      </c>
      <c r="F81" s="1573" t="str">
        <f>FHD_P_21</f>
        <v>Расходы на амортизацию нематериальных активов</v>
      </c>
      <c r="G81" s="1795" t="s">
        <v>569</v>
      </c>
      <c r="H81" s="493"/>
      <c r="I81" s="493">
        <v>0</v>
      </c>
      <c r="J81" s="493">
        <v>0</v>
      </c>
      <c r="K81" s="493">
        <v>0</v>
      </c>
      <c r="L81" s="493">
        <v>0</v>
      </c>
      <c r="M81" s="493">
        <v>0</v>
      </c>
      <c r="N81" s="493">
        <v>0</v>
      </c>
      <c r="O81" s="226" t="str">
        <f>FHD_NOTE_P_21</f>
        <v/>
      </c>
      <c r="P81" s="2326" t="str">
        <f t="shared" si="12"/>
        <v/>
      </c>
      <c r="Q81" s="2328">
        <f t="shared" si="13"/>
        <v>0</v>
      </c>
      <c r="R81" s="2326"/>
      <c r="S81" s="2326"/>
      <c r="T81" s="2326"/>
      <c r="U81" s="2327"/>
      <c r="V81" s="2327"/>
      <c r="W81" s="2327"/>
      <c r="X81" s="2327"/>
      <c r="Z81" s="480"/>
      <c r="AF81" s="1555"/>
      <c r="AG81" s="1555"/>
      <c r="AH81" s="1555"/>
      <c r="AI81" s="1555"/>
      <c r="AJ81" s="1555"/>
      <c r="AK81" s="1083">
        <v>11</v>
      </c>
    </row>
    <row r="82" spans="1:37" s="1289" customFormat="1" ht="35.25" customHeight="1">
      <c r="A82" s="914"/>
      <c r="C82" s="1559"/>
      <c r="D82" s="1561"/>
      <c r="E82" s="482" t="str">
        <f>FHD_NUM_P_22</f>
        <v>2.9</v>
      </c>
      <c r="F82" s="1447" t="str">
        <f>FHD_P_22</f>
        <v>Расходы на аренду имущества, используемого для осуществления регулируемого вида деятельности</v>
      </c>
      <c r="G82" s="1795" t="s">
        <v>569</v>
      </c>
      <c r="H82" s="493"/>
      <c r="I82" s="493">
        <v>934.57163100000002</v>
      </c>
      <c r="J82" s="493">
        <v>114.316121</v>
      </c>
      <c r="K82" s="493">
        <v>5330.9847449999997</v>
      </c>
      <c r="L82" s="493">
        <v>0</v>
      </c>
      <c r="M82" s="493">
        <v>1320.244111</v>
      </c>
      <c r="N82" s="493">
        <v>1141.3932259999999</v>
      </c>
      <c r="O82" s="226" t="str">
        <f>FHD_NOTE_P_22</f>
        <v/>
      </c>
      <c r="P82" s="2326" t="str">
        <f t="shared" si="12"/>
        <v>p</v>
      </c>
      <c r="Q82" s="2328">
        <f t="shared" si="13"/>
        <v>8841.5098340000004</v>
      </c>
      <c r="R82" s="2326"/>
      <c r="S82" s="2326"/>
      <c r="T82" s="2326"/>
      <c r="U82" s="2327"/>
      <c r="V82" s="2327"/>
      <c r="W82" s="2327"/>
      <c r="X82" s="2327"/>
      <c r="Z82" s="480"/>
      <c r="AF82" s="1555"/>
      <c r="AG82" s="1555"/>
      <c r="AH82" s="1555"/>
      <c r="AI82" s="1555"/>
      <c r="AJ82" s="1555"/>
      <c r="AK82" s="1083">
        <v>11</v>
      </c>
    </row>
    <row r="83" spans="1:37" s="1289" customFormat="1" ht="11.45" customHeight="1">
      <c r="A83" s="914"/>
      <c r="C83" s="1559"/>
      <c r="D83" s="511"/>
      <c r="E83" s="482" t="str">
        <f>FHD_NUM_P_23</f>
        <v>2.10</v>
      </c>
      <c r="F83" s="1447" t="str">
        <f>FHD_P_23</f>
        <v>Общепроизводственные расходы, в том числе:</v>
      </c>
      <c r="G83" s="1795" t="s">
        <v>569</v>
      </c>
      <c r="H83" s="493"/>
      <c r="I83" s="493">
        <v>0</v>
      </c>
      <c r="J83" s="493">
        <v>0</v>
      </c>
      <c r="K83" s="493">
        <v>0</v>
      </c>
      <c r="L83" s="493">
        <v>0</v>
      </c>
      <c r="M83" s="493">
        <v>0</v>
      </c>
      <c r="N83" s="493">
        <v>0</v>
      </c>
      <c r="O83" s="226" t="str">
        <f>FHD_NOTE_P_23</f>
        <v>Указывается общая сумма общепроизводственных расходов.</v>
      </c>
      <c r="P83" s="2326" t="str">
        <f t="shared" si="12"/>
        <v>p</v>
      </c>
      <c r="Q83" s="2328">
        <f t="shared" si="13"/>
        <v>0</v>
      </c>
      <c r="R83" s="2326"/>
      <c r="S83" s="2326"/>
      <c r="T83" s="2326"/>
      <c r="U83" s="2327"/>
      <c r="V83" s="2327"/>
      <c r="W83" s="2327"/>
      <c r="X83" s="2327"/>
      <c r="Z83" s="480"/>
      <c r="AF83" s="1555"/>
      <c r="AG83" s="1555"/>
      <c r="AH83" s="1555"/>
      <c r="AI83" s="1555"/>
      <c r="AJ83" s="1555"/>
      <c r="AK83" s="1083">
        <v>11</v>
      </c>
    </row>
    <row r="84" spans="1:37" s="1289" customFormat="1" ht="11.45" customHeight="1">
      <c r="A84" s="914"/>
      <c r="C84" s="1559"/>
      <c r="D84" s="511"/>
      <c r="E84" s="482" t="str">
        <f>FHD_NUM_P_24</f>
        <v>2.10.1</v>
      </c>
      <c r="F84" s="1573" t="str">
        <f>FHD_P_24</f>
        <v>Расходы на текущий ремонт</v>
      </c>
      <c r="G84" s="1795" t="s">
        <v>569</v>
      </c>
      <c r="H84" s="493"/>
      <c r="I84" s="493">
        <v>0</v>
      </c>
      <c r="J84" s="493">
        <v>0</v>
      </c>
      <c r="K84" s="493">
        <v>0</v>
      </c>
      <c r="L84" s="493">
        <v>0</v>
      </c>
      <c r="M84" s="493">
        <v>0</v>
      </c>
      <c r="N84" s="493">
        <v>0</v>
      </c>
      <c r="O84" s="226" t="str">
        <f>FHD_NOTE_P_24</f>
        <v>Указываются расходы на текущий ремонт, отнесенные к общепроизводственным расходам.</v>
      </c>
      <c r="P84" s="2326" t="str">
        <f t="shared" si="12"/>
        <v/>
      </c>
      <c r="Q84" s="2328">
        <f t="shared" si="13"/>
        <v>0</v>
      </c>
      <c r="R84" s="2326"/>
      <c r="S84" s="2326"/>
      <c r="T84" s="2326"/>
      <c r="U84" s="2327"/>
      <c r="V84" s="2327"/>
      <c r="W84" s="2327"/>
      <c r="X84" s="2327"/>
      <c r="Z84" s="480"/>
      <c r="AF84" s="1555"/>
      <c r="AG84" s="1555"/>
      <c r="AH84" s="1555"/>
      <c r="AI84" s="1555"/>
      <c r="AJ84" s="1555"/>
      <c r="AK84" s="1083">
        <v>11</v>
      </c>
    </row>
    <row r="85" spans="1:37" s="1289" customFormat="1" ht="11.45" customHeight="1">
      <c r="A85" s="914"/>
      <c r="C85" s="1559"/>
      <c r="D85" s="511"/>
      <c r="E85" s="482" t="str">
        <f>FHD_NUM_P_25</f>
        <v>2.10.2</v>
      </c>
      <c r="F85" s="1573" t="str">
        <f>FHD_P_25</f>
        <v>Расходы на капитальный ремонт</v>
      </c>
      <c r="G85" s="1795" t="s">
        <v>569</v>
      </c>
      <c r="H85" s="493"/>
      <c r="I85" s="493">
        <v>0</v>
      </c>
      <c r="J85" s="493">
        <v>0</v>
      </c>
      <c r="K85" s="493">
        <v>0</v>
      </c>
      <c r="L85" s="493">
        <v>0</v>
      </c>
      <c r="M85" s="493">
        <v>0</v>
      </c>
      <c r="N85" s="493">
        <v>0</v>
      </c>
      <c r="O85" s="226" t="str">
        <f>FHD_NOTE_P_25</f>
        <v>Указываются расходы на капитальный ремонт, отнесенные к общепроизводственным расходам.</v>
      </c>
      <c r="P85" s="2326" t="str">
        <f t="shared" si="12"/>
        <v/>
      </c>
      <c r="Q85" s="2328">
        <f t="shared" si="13"/>
        <v>0</v>
      </c>
      <c r="R85" s="2326"/>
      <c r="S85" s="2326"/>
      <c r="T85" s="2326"/>
      <c r="U85" s="2327"/>
      <c r="V85" s="2327"/>
      <c r="W85" s="2327"/>
      <c r="X85" s="2327"/>
      <c r="Z85" s="480"/>
      <c r="AF85" s="1555"/>
      <c r="AG85" s="1555"/>
      <c r="AH85" s="1555"/>
      <c r="AI85" s="1555"/>
      <c r="AJ85" s="1555"/>
      <c r="AK85" s="1083">
        <v>11</v>
      </c>
    </row>
    <row r="86" spans="1:37" s="1289" customFormat="1" ht="11.45" customHeight="1">
      <c r="A86" s="914"/>
      <c r="C86" s="1559"/>
      <c r="D86" s="1561"/>
      <c r="E86" s="482" t="str">
        <f>FHD_NUM_P_26</f>
        <v>2.11</v>
      </c>
      <c r="F86" s="1447" t="str">
        <f>FHD_P_26</f>
        <v>Общехозяйственные расходы, в том числе:</v>
      </c>
      <c r="G86" s="1795" t="s">
        <v>569</v>
      </c>
      <c r="H86" s="493"/>
      <c r="I86" s="493">
        <v>0</v>
      </c>
      <c r="J86" s="493">
        <v>0</v>
      </c>
      <c r="K86" s="493">
        <v>0</v>
      </c>
      <c r="L86" s="493">
        <v>0</v>
      </c>
      <c r="M86" s="493">
        <v>0</v>
      </c>
      <c r="N86" s="493">
        <v>0</v>
      </c>
      <c r="O86" s="226" t="str">
        <f>FHD_NOTE_P_26</f>
        <v>Указывается общая сумма общехозяйственных расходов.</v>
      </c>
      <c r="P86" s="2326" t="str">
        <f t="shared" si="12"/>
        <v>p</v>
      </c>
      <c r="Q86" s="2328">
        <f t="shared" si="13"/>
        <v>0</v>
      </c>
      <c r="R86" s="2326"/>
      <c r="S86" s="2326"/>
      <c r="T86" s="2326"/>
      <c r="U86" s="2327"/>
      <c r="V86" s="2327"/>
      <c r="W86" s="2327"/>
      <c r="X86" s="2327"/>
      <c r="Z86" s="480"/>
      <c r="AF86" s="1555"/>
      <c r="AG86" s="1555"/>
      <c r="AH86" s="1555"/>
      <c r="AI86" s="1555"/>
      <c r="AJ86" s="1555"/>
      <c r="AK86" s="1083">
        <v>11</v>
      </c>
    </row>
    <row r="87" spans="1:37" s="1289" customFormat="1" ht="11.45" customHeight="1">
      <c r="A87" s="914"/>
      <c r="C87" s="1559"/>
      <c r="D87" s="1561"/>
      <c r="E87" s="482" t="str">
        <f>FHD_NUM_P_27</f>
        <v>2.11.1</v>
      </c>
      <c r="F87" s="1573" t="str">
        <f>FHD_P_27</f>
        <v>Расходы на текущий ремонт</v>
      </c>
      <c r="G87" s="1795" t="s">
        <v>569</v>
      </c>
      <c r="H87" s="493"/>
      <c r="I87" s="493">
        <v>0</v>
      </c>
      <c r="J87" s="493">
        <v>0</v>
      </c>
      <c r="K87" s="493">
        <v>0</v>
      </c>
      <c r="L87" s="493">
        <v>0</v>
      </c>
      <c r="M87" s="493">
        <v>0</v>
      </c>
      <c r="N87" s="493">
        <v>0</v>
      </c>
      <c r="O87" s="226" t="str">
        <f>FHD_NOTE_P_27</f>
        <v>Указываются расходы на текущий ремонт, отнесенные к общехозяйственным расходам.</v>
      </c>
      <c r="P87" s="2326" t="str">
        <f t="shared" si="12"/>
        <v/>
      </c>
      <c r="Q87" s="2328">
        <f t="shared" si="13"/>
        <v>0</v>
      </c>
      <c r="R87" s="2326"/>
      <c r="S87" s="2326"/>
      <c r="T87" s="2326"/>
      <c r="U87" s="2327"/>
      <c r="V87" s="2327"/>
      <c r="W87" s="2327"/>
      <c r="X87" s="2327"/>
      <c r="Z87" s="480"/>
      <c r="AF87" s="1555"/>
      <c r="AG87" s="1555"/>
      <c r="AH87" s="1555"/>
      <c r="AI87" s="1555"/>
      <c r="AJ87" s="1555"/>
      <c r="AK87" s="1083">
        <v>11</v>
      </c>
    </row>
    <row r="88" spans="1:37" s="1289" customFormat="1" ht="11.45" customHeight="1">
      <c r="A88" s="914"/>
      <c r="C88" s="1559"/>
      <c r="D88" s="1561"/>
      <c r="E88" s="482" t="str">
        <f>FHD_NUM_P_28</f>
        <v>2.11.2</v>
      </c>
      <c r="F88" s="1573" t="str">
        <f>FHD_P_28</f>
        <v>Расходы на капитальный ремонт</v>
      </c>
      <c r="G88" s="1795" t="s">
        <v>569</v>
      </c>
      <c r="H88" s="493"/>
      <c r="I88" s="493">
        <v>0</v>
      </c>
      <c r="J88" s="493">
        <v>0</v>
      </c>
      <c r="K88" s="493">
        <v>0</v>
      </c>
      <c r="L88" s="493">
        <v>0</v>
      </c>
      <c r="M88" s="493">
        <v>0</v>
      </c>
      <c r="N88" s="493">
        <v>0</v>
      </c>
      <c r="O88" s="226" t="str">
        <f>FHD_NOTE_P_28</f>
        <v>Указываются расходы на капитальный ремонт, отнесенные к общехозяйственным расходам.</v>
      </c>
      <c r="P88" s="2326" t="str">
        <f t="shared" si="12"/>
        <v/>
      </c>
      <c r="Q88" s="2328">
        <f t="shared" si="13"/>
        <v>0</v>
      </c>
      <c r="R88" s="2326"/>
      <c r="S88" s="2326"/>
      <c r="T88" s="2326"/>
      <c r="U88" s="2327"/>
      <c r="V88" s="2327"/>
      <c r="W88" s="2327"/>
      <c r="X88" s="2327"/>
      <c r="Z88" s="480"/>
      <c r="AF88" s="1555"/>
      <c r="AG88" s="1555"/>
      <c r="AH88" s="1555"/>
      <c r="AI88" s="1555"/>
      <c r="AJ88" s="1555"/>
      <c r="AK88" s="1083">
        <v>11</v>
      </c>
    </row>
    <row r="89" spans="1:37" s="1289" customFormat="1" ht="30" customHeight="1">
      <c r="A89" s="914"/>
      <c r="C89" s="1559"/>
      <c r="D89" s="1561"/>
      <c r="E89" s="482" t="str">
        <f>FHD_NUM_P_29</f>
        <v>2.12</v>
      </c>
      <c r="F89" s="1447" t="str">
        <f>FHD_P_29</f>
        <v>Расходы на капитальный и текущий ремонт основных средств</v>
      </c>
      <c r="G89" s="1795" t="s">
        <v>569</v>
      </c>
      <c r="H89" s="493"/>
      <c r="I89" s="493">
        <v>54635.212972000001</v>
      </c>
      <c r="J89" s="493">
        <v>0</v>
      </c>
      <c r="K89" s="493">
        <v>207011.49111999999</v>
      </c>
      <c r="L89" s="493">
        <v>0</v>
      </c>
      <c r="M89" s="493">
        <v>116491.6007</v>
      </c>
      <c r="N89" s="493">
        <v>138984.73285599999</v>
      </c>
      <c r="O89" s="22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P89" s="2326" t="str">
        <f t="shared" si="12"/>
        <v>p</v>
      </c>
      <c r="Q89" s="2328">
        <f t="shared" si="13"/>
        <v>517123.03764799994</v>
      </c>
      <c r="R89" s="2326"/>
      <c r="S89" s="2326"/>
      <c r="T89" s="2326"/>
      <c r="U89" s="2327"/>
      <c r="V89" s="2327"/>
      <c r="W89" s="2327"/>
      <c r="X89" s="2327"/>
      <c r="Z89" s="480"/>
      <c r="AF89" s="1555"/>
      <c r="AG89" s="1555"/>
      <c r="AH89" s="1555"/>
      <c r="AI89" s="1555"/>
      <c r="AJ89" s="1555"/>
      <c r="AK89" s="1083">
        <v>11</v>
      </c>
    </row>
    <row r="90" spans="1:37" s="1289" customFormat="1" ht="39" customHeight="1">
      <c r="A90" s="914"/>
      <c r="C90" s="1559"/>
      <c r="D90" s="1561"/>
      <c r="E90" s="482" t="str">
        <f>FHD_NUM_P_30</f>
        <v>2.12.1</v>
      </c>
      <c r="F90" s="157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90" s="1795" t="s">
        <v>325</v>
      </c>
      <c r="H90" s="1572" t="s">
        <v>600</v>
      </c>
      <c r="I90" s="1572" t="s">
        <v>601</v>
      </c>
      <c r="J90" s="2039" t="s">
        <v>600</v>
      </c>
      <c r="K90" s="2039" t="s">
        <v>601</v>
      </c>
      <c r="L90" s="2039" t="s">
        <v>600</v>
      </c>
      <c r="M90" s="2039" t="s">
        <v>601</v>
      </c>
      <c r="N90" s="2039" t="s">
        <v>601</v>
      </c>
      <c r="O90" s="226" t="str">
        <f>FHD_NOTE_P_30</f>
        <v/>
      </c>
      <c r="P90" s="2326" t="str">
        <f t="shared" si="12"/>
        <v/>
      </c>
      <c r="Q90" s="2328" t="e">
        <f t="shared" si="13"/>
        <v>#VALUE!</v>
      </c>
      <c r="R90" s="2326"/>
      <c r="S90" s="2326"/>
      <c r="T90" s="2326"/>
      <c r="U90" s="2327"/>
      <c r="V90" s="2327"/>
      <c r="W90" s="2327"/>
      <c r="X90" s="2327"/>
      <c r="Z90" s="480"/>
      <c r="AF90" s="1555"/>
      <c r="AG90" s="1555"/>
      <c r="AH90" s="1555"/>
      <c r="AI90" s="1555"/>
      <c r="AJ90" s="1555"/>
      <c r="AK90" s="1083">
        <v>11</v>
      </c>
    </row>
    <row r="91" spans="1:37" s="1289" customFormat="1" ht="23.25" hidden="1" customHeight="1">
      <c r="A91" s="2595" t="s">
        <v>602</v>
      </c>
      <c r="C91" s="1559"/>
      <c r="D91" s="1561"/>
      <c r="E91" s="482" t="str">
        <f>FHD_NUM_P_31</f>
        <v/>
      </c>
      <c r="F91" s="1447" t="str">
        <f>FHD_P_31</f>
        <v/>
      </c>
      <c r="G91" s="1795" t="s">
        <v>569</v>
      </c>
      <c r="H91" s="493"/>
      <c r="I91" s="493"/>
      <c r="J91" s="493"/>
      <c r="K91" s="493"/>
      <c r="L91" s="493"/>
      <c r="M91" s="493"/>
      <c r="N91" s="493"/>
      <c r="O91" s="226" t="str">
        <f>FHD_NOTE_P_31</f>
        <v/>
      </c>
      <c r="P91" s="2326" t="str">
        <f t="shared" si="12"/>
        <v/>
      </c>
      <c r="Q91" s="2328">
        <f t="shared" si="13"/>
        <v>0</v>
      </c>
      <c r="R91" s="2326"/>
      <c r="S91" s="2326"/>
      <c r="T91" s="2326"/>
      <c r="U91" s="2327"/>
      <c r="V91" s="2327"/>
      <c r="W91" s="2327"/>
      <c r="X91" s="2327"/>
      <c r="Z91" s="480"/>
      <c r="AF91" s="1555"/>
      <c r="AG91" s="1555"/>
      <c r="AH91" s="1555"/>
      <c r="AI91" s="1555"/>
      <c r="AJ91" s="1555"/>
      <c r="AK91" s="1083">
        <v>22</v>
      </c>
    </row>
    <row r="92" spans="1:37" s="1289" customFormat="1" ht="47.25" hidden="1" customHeight="1">
      <c r="A92" s="2595"/>
      <c r="C92" s="1559"/>
      <c r="D92" s="1561"/>
      <c r="E92" s="482" t="str">
        <f>FHD_NUM_P_32</f>
        <v/>
      </c>
      <c r="F92" s="1573" t="str">
        <f>FHD_P_32</f>
        <v/>
      </c>
      <c r="G92" s="1795" t="s">
        <v>325</v>
      </c>
      <c r="H92" s="1572" t="s">
        <v>600</v>
      </c>
      <c r="I92" s="1572" t="s">
        <v>600</v>
      </c>
      <c r="J92" s="2039" t="s">
        <v>600</v>
      </c>
      <c r="K92" s="2039" t="s">
        <v>600</v>
      </c>
      <c r="L92" s="2039" t="s">
        <v>600</v>
      </c>
      <c r="M92" s="2039" t="s">
        <v>600</v>
      </c>
      <c r="N92" s="2039" t="s">
        <v>600</v>
      </c>
      <c r="O92" s="226" t="str">
        <f>FHD_NOTE_P_32</f>
        <v/>
      </c>
      <c r="P92" s="2326" t="str">
        <f t="shared" si="12"/>
        <v/>
      </c>
      <c r="Q92" s="2328" t="e">
        <f t="shared" si="13"/>
        <v>#VALUE!</v>
      </c>
      <c r="R92" s="2326"/>
      <c r="S92" s="2326"/>
      <c r="T92" s="2326"/>
      <c r="U92" s="2327"/>
      <c r="V92" s="2327"/>
      <c r="W92" s="2327"/>
      <c r="X92" s="2327"/>
      <c r="Z92" s="480"/>
      <c r="AF92" s="1555"/>
      <c r="AG92" s="1555"/>
      <c r="AH92" s="1555"/>
      <c r="AI92" s="1555"/>
      <c r="AJ92" s="1555"/>
      <c r="AK92" s="1083">
        <v>45</v>
      </c>
    </row>
    <row r="93" spans="1:37" s="1289" customFormat="1" ht="11.45" customHeight="1">
      <c r="A93" s="914"/>
      <c r="C93" s="1559"/>
      <c r="D93" s="1561"/>
      <c r="E93" s="482" t="str">
        <f>FHD_NUM_P_33</f>
        <v>2.13</v>
      </c>
      <c r="F93" s="1447" t="str">
        <f>FHD_P_33</f>
        <v>Прочие расходы, которые подлежат отнесению на регулируемые виды деятельности в соответствии с законодательством Российской Федерации</v>
      </c>
      <c r="G93" s="1796" t="s">
        <v>569</v>
      </c>
      <c r="H93" s="515">
        <f t="shared" ref="H93:N93" si="17">SUM(H94:H96)</f>
        <v>0</v>
      </c>
      <c r="I93" s="515">
        <f t="shared" si="17"/>
        <v>134746.341739</v>
      </c>
      <c r="J93" s="515">
        <f t="shared" si="17"/>
        <v>9763.2932529999998</v>
      </c>
      <c r="K93" s="515">
        <f t="shared" si="17"/>
        <v>775525.45337</v>
      </c>
      <c r="L93" s="515">
        <f t="shared" si="17"/>
        <v>0</v>
      </c>
      <c r="M93" s="515">
        <f t="shared" si="17"/>
        <v>87490.466453999994</v>
      </c>
      <c r="N93" s="515">
        <f t="shared" si="17"/>
        <v>268943.414253</v>
      </c>
      <c r="O93" s="22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P93" s="2326" t="str">
        <f t="shared" si="12"/>
        <v>p</v>
      </c>
      <c r="Q93" s="2328">
        <f t="shared" si="13"/>
        <v>1276468.9690689999</v>
      </c>
      <c r="R93" s="2326"/>
      <c r="S93" s="2326"/>
      <c r="T93" s="2326"/>
      <c r="U93" s="2327"/>
      <c r="V93" s="2327"/>
      <c r="W93" s="2327"/>
      <c r="X93" s="2327"/>
      <c r="Z93" s="480"/>
      <c r="AF93" s="1555"/>
      <c r="AG93" s="1555"/>
      <c r="AH93" s="1555"/>
      <c r="AI93" s="1555"/>
      <c r="AJ93" s="1555"/>
      <c r="AK93" s="1083">
        <v>11</v>
      </c>
    </row>
    <row r="94" spans="1:37" s="1565" customFormat="1" ht="1.1499999999999999" customHeight="1">
      <c r="A94" s="1090"/>
      <c r="D94" s="484"/>
      <c r="E94" s="940" t="str">
        <f>E93&amp;".0"</f>
        <v>2.13.0</v>
      </c>
      <c r="F94" s="918"/>
      <c r="G94" s="940"/>
      <c r="H94" s="919"/>
      <c r="I94" s="919"/>
      <c r="J94" s="919"/>
      <c r="K94" s="919"/>
      <c r="L94" s="919"/>
      <c r="M94" s="919"/>
      <c r="N94" s="919"/>
      <c r="O94" s="920"/>
      <c r="P94" s="2326" t="str">
        <f t="shared" si="12"/>
        <v/>
      </c>
      <c r="Q94" s="2328">
        <f t="shared" si="13"/>
        <v>0</v>
      </c>
      <c r="R94" s="2326"/>
      <c r="S94" s="2326"/>
      <c r="T94" s="2326"/>
      <c r="U94" s="2327"/>
      <c r="V94" s="2327"/>
      <c r="W94" s="2327"/>
      <c r="X94" s="2327"/>
      <c r="AK94" s="1559">
        <v>1</v>
      </c>
    </row>
    <row r="95" spans="1:37" s="1555" customFormat="1" ht="22.5" customHeight="1">
      <c r="A95" s="914"/>
      <c r="B95" s="1289"/>
      <c r="C95" s="1565"/>
      <c r="D95" s="619" t="s">
        <v>104</v>
      </c>
      <c r="E95" s="2026" t="str">
        <f>E93&amp;".1"</f>
        <v>2.13.1</v>
      </c>
      <c r="F95" s="476" t="s">
        <v>603</v>
      </c>
      <c r="G95" s="2026" t="s">
        <v>569</v>
      </c>
      <c r="H95" s="686"/>
      <c r="I95" s="686">
        <v>134746.341739</v>
      </c>
      <c r="J95" s="686">
        <v>9763.2932529999998</v>
      </c>
      <c r="K95" s="686">
        <v>775525.45337</v>
      </c>
      <c r="L95" s="686"/>
      <c r="M95" s="686">
        <v>87490.466453999994</v>
      </c>
      <c r="N95" s="686">
        <v>268943.414253</v>
      </c>
      <c r="O95" s="478" t="s">
        <v>572</v>
      </c>
      <c r="P95" s="2326"/>
      <c r="Q95" s="2328">
        <f t="shared" si="13"/>
        <v>1276468.9690689999</v>
      </c>
      <c r="R95" s="2326"/>
      <c r="S95" s="2326"/>
      <c r="T95" s="2326"/>
      <c r="U95" s="2327"/>
      <c r="V95" s="2327"/>
      <c r="W95" s="2327"/>
      <c r="X95" s="2327"/>
      <c r="Y95" s="1289"/>
      <c r="Z95" s="671"/>
      <c r="AA95" s="1289"/>
      <c r="AB95" s="1289"/>
      <c r="AC95" s="1289"/>
      <c r="AD95" s="1289"/>
      <c r="AE95" s="1289"/>
      <c r="AK95" s="1289">
        <v>0</v>
      </c>
    </row>
    <row r="96" spans="1:37" s="1289" customFormat="1" ht="14.65" customHeight="1">
      <c r="A96" s="914"/>
      <c r="C96" s="1559"/>
      <c r="D96" s="1556"/>
      <c r="E96" s="506"/>
      <c r="F96" s="507" t="s">
        <v>604</v>
      </c>
      <c r="G96" s="508"/>
      <c r="H96" s="509"/>
      <c r="I96" s="509"/>
      <c r="J96" s="2064"/>
      <c r="K96" s="2065"/>
      <c r="L96" s="2066"/>
      <c r="M96" s="2067"/>
      <c r="N96" s="2068"/>
      <c r="O96" s="238"/>
      <c r="P96" s="2326"/>
      <c r="Q96" s="2328">
        <f t="shared" si="13"/>
        <v>0</v>
      </c>
      <c r="R96" s="2326"/>
      <c r="S96" s="2326"/>
      <c r="T96" s="2326"/>
      <c r="U96" s="2327"/>
      <c r="V96" s="2327"/>
      <c r="W96" s="2327"/>
      <c r="X96" s="2327"/>
      <c r="Z96" s="480"/>
      <c r="AF96" s="1555"/>
      <c r="AG96" s="1555"/>
      <c r="AH96" s="1555"/>
      <c r="AI96" s="1555"/>
      <c r="AJ96" s="1555"/>
      <c r="AK96" s="1083">
        <v>14</v>
      </c>
    </row>
    <row r="97" spans="1:37" s="1289" customFormat="1" ht="18.75" customHeight="1">
      <c r="A97" s="916" t="s">
        <v>605</v>
      </c>
      <c r="C97" s="1559"/>
      <c r="D97" s="1561"/>
      <c r="E97" s="482" t="str">
        <f>FHD_NUM_P_34</f>
        <v>3</v>
      </c>
      <c r="F97" s="1797" t="str">
        <f>FHD_P_34</f>
        <v>Валовая прибыль (убытки) от реализации товаров и оказания услуг по регулируемому виду деятельности</v>
      </c>
      <c r="G97" s="1795" t="s">
        <v>569</v>
      </c>
      <c r="H97" s="493"/>
      <c r="I97" s="493">
        <f t="shared" ref="I97:N97" si="18">I30-I31</f>
        <v>-2600041.6163030877</v>
      </c>
      <c r="J97" s="493">
        <f t="shared" si="18"/>
        <v>-74292.430250126839</v>
      </c>
      <c r="K97" s="493">
        <f t="shared" si="18"/>
        <v>2731911.48061</v>
      </c>
      <c r="L97" s="493">
        <f t="shared" si="18"/>
        <v>50192.125880000007</v>
      </c>
      <c r="M97" s="493">
        <f t="shared" si="18"/>
        <v>4143160.5979829999</v>
      </c>
      <c r="N97" s="493">
        <f t="shared" si="18"/>
        <v>-4028879.6819551322</v>
      </c>
      <c r="O97" s="226" t="str">
        <f>FHD_NOTE_P_34</f>
        <v/>
      </c>
      <c r="P97" s="2326"/>
      <c r="Q97" s="2328">
        <f t="shared" si="13"/>
        <v>171858.35008465359</v>
      </c>
      <c r="R97" s="2326"/>
      <c r="S97" s="2326"/>
      <c r="T97" s="2326"/>
      <c r="U97" s="2327"/>
      <c r="V97" s="2327"/>
      <c r="W97" s="2327"/>
      <c r="X97" s="2327"/>
      <c r="Z97" s="480"/>
      <c r="AF97" s="1555"/>
      <c r="AG97" s="1555"/>
      <c r="AH97" s="1555"/>
      <c r="AI97" s="1555"/>
      <c r="AJ97" s="1555"/>
      <c r="AK97" s="1083">
        <v>0</v>
      </c>
    </row>
    <row r="98" spans="1:37" s="1289" customFormat="1" ht="19.899999999999999" customHeight="1">
      <c r="A98" s="914"/>
      <c r="C98" s="1559"/>
      <c r="D98" s="511"/>
      <c r="E98" s="482" t="str">
        <f>FHD_NUM_P_35</f>
        <v>4</v>
      </c>
      <c r="F98" s="1797" t="str">
        <f>FHD_P_35</f>
        <v>Чистая прибыль, полученная от регулируемого вида деятельности, в том числе:</v>
      </c>
      <c r="G98" s="1795" t="s">
        <v>569</v>
      </c>
      <c r="H98" s="493"/>
      <c r="I98" s="493">
        <v>0</v>
      </c>
      <c r="J98" s="493">
        <v>0</v>
      </c>
      <c r="K98" s="493">
        <v>0</v>
      </c>
      <c r="L98" s="493">
        <v>0</v>
      </c>
      <c r="M98" s="493">
        <v>0</v>
      </c>
      <c r="N98" s="493">
        <v>0</v>
      </c>
      <c r="O98" s="226" t="str">
        <f>FHD_NOTE_P_35</f>
        <v>Указывается общая сумма чистой прибыли, полученной от регулируемого вида деятельности.</v>
      </c>
      <c r="P98" s="2326"/>
      <c r="Q98" s="2328">
        <f t="shared" si="13"/>
        <v>0</v>
      </c>
      <c r="R98" s="2326"/>
      <c r="S98" s="2326"/>
      <c r="T98" s="2326"/>
      <c r="U98" s="2327"/>
      <c r="V98" s="2327"/>
      <c r="W98" s="2327"/>
      <c r="X98" s="2327"/>
      <c r="Z98" s="480"/>
      <c r="AF98" s="1555"/>
      <c r="AG98" s="1555"/>
      <c r="AH98" s="1555"/>
      <c r="AI98" s="1555"/>
      <c r="AJ98" s="1555"/>
      <c r="AK98" s="1083">
        <v>19</v>
      </c>
    </row>
    <row r="99" spans="1:37" s="1289" customFormat="1" ht="19.899999999999999" customHeight="1">
      <c r="A99" s="914"/>
      <c r="C99" s="1559"/>
      <c r="D99" s="1561"/>
      <c r="E99" s="482" t="str">
        <f>FHD_NUM_P_36</f>
        <v>4.1</v>
      </c>
      <c r="F99" s="1447" t="str">
        <f>FHD_P_36</f>
        <v>Размер расходования чистой прибыли на финансирование мероприятий, предусмотренных инвестиционной программой регулируемой организации</v>
      </c>
      <c r="G99" s="1795" t="s">
        <v>569</v>
      </c>
      <c r="H99" s="493"/>
      <c r="I99" s="493">
        <v>0</v>
      </c>
      <c r="J99" s="493">
        <v>0</v>
      </c>
      <c r="K99" s="493">
        <v>0</v>
      </c>
      <c r="L99" s="493">
        <v>0</v>
      </c>
      <c r="M99" s="493">
        <v>0</v>
      </c>
      <c r="N99" s="493">
        <v>0</v>
      </c>
      <c r="O99" s="226" t="str">
        <f>FHD_NOTE_P_36</f>
        <v/>
      </c>
      <c r="P99" s="2326"/>
      <c r="Q99" s="2328">
        <f t="shared" si="13"/>
        <v>0</v>
      </c>
      <c r="R99" s="2326"/>
      <c r="S99" s="2326"/>
      <c r="T99" s="2326"/>
      <c r="U99" s="2327"/>
      <c r="V99" s="2327"/>
      <c r="W99" s="2327"/>
      <c r="X99" s="2327"/>
      <c r="Z99" s="480"/>
      <c r="AF99" s="1555"/>
      <c r="AG99" s="1555"/>
      <c r="AH99" s="1555"/>
      <c r="AI99" s="1555"/>
      <c r="AJ99" s="1555"/>
      <c r="AK99" s="1083">
        <v>19</v>
      </c>
    </row>
    <row r="100" spans="1:37" s="1289" customFormat="1" ht="20.25" customHeight="1">
      <c r="A100" s="914"/>
      <c r="C100" s="1559"/>
      <c r="D100" s="1561"/>
      <c r="E100" s="482" t="str">
        <f>FHD_NUM_P_37</f>
        <v>5</v>
      </c>
      <c r="F100" s="1797" t="str">
        <f>FHD_P_37</f>
        <v>Изменение стоимости основных фондов, в том числе:</v>
      </c>
      <c r="G100" s="1795" t="s">
        <v>569</v>
      </c>
      <c r="H100" s="493"/>
      <c r="I100" s="493">
        <f t="shared" ref="I100:N100" si="19">I101+I104</f>
        <v>102931.39782899999</v>
      </c>
      <c r="J100" s="493">
        <f t="shared" si="19"/>
        <v>266551.56259499997</v>
      </c>
      <c r="K100" s="493">
        <f t="shared" si="19"/>
        <v>277042.74258299998</v>
      </c>
      <c r="L100" s="493">
        <f t="shared" si="19"/>
        <v>0</v>
      </c>
      <c r="M100" s="493">
        <f t="shared" si="19"/>
        <v>79217.963847999999</v>
      </c>
      <c r="N100" s="493">
        <f t="shared" si="19"/>
        <v>199849.13371199998</v>
      </c>
      <c r="O100" s="226" t="str">
        <f>FHD_NOTE_P_37</f>
        <v>Указывается общее изменение стоимости основных фондов.</v>
      </c>
      <c r="P100" s="2326"/>
      <c r="Q100" s="2328">
        <f t="shared" si="13"/>
        <v>925592.80056699994</v>
      </c>
      <c r="R100" s="2326"/>
      <c r="S100" s="2326"/>
      <c r="T100" s="2326"/>
      <c r="U100" s="2327"/>
      <c r="V100" s="2327"/>
      <c r="W100" s="2327"/>
      <c r="X100" s="2327"/>
      <c r="Z100" s="480"/>
      <c r="AF100" s="1555"/>
      <c r="AG100" s="1555"/>
      <c r="AH100" s="1555"/>
      <c r="AI100" s="1555"/>
      <c r="AJ100" s="1555"/>
      <c r="AK100" s="1083">
        <v>19</v>
      </c>
    </row>
    <row r="101" spans="1:37" s="1289" customFormat="1" ht="20.25" customHeight="1">
      <c r="A101" s="914"/>
      <c r="C101" s="1559"/>
      <c r="D101" s="1561"/>
      <c r="E101" s="482" t="str">
        <f>FHD_NUM_P_38</f>
        <v>5.1</v>
      </c>
      <c r="F101" s="1447" t="str">
        <f>FHD_P_38</f>
        <v>Изменение стоимости основных фондов за счет:</v>
      </c>
      <c r="G101" s="1795" t="s">
        <v>569</v>
      </c>
      <c r="H101" s="493"/>
      <c r="I101" s="493">
        <f t="shared" ref="I101:N101" si="20">I102+I103</f>
        <v>102931.39782899999</v>
      </c>
      <c r="J101" s="493">
        <f t="shared" si="20"/>
        <v>266551.56259499997</v>
      </c>
      <c r="K101" s="493">
        <f t="shared" si="20"/>
        <v>277042.74258299998</v>
      </c>
      <c r="L101" s="493">
        <f t="shared" si="20"/>
        <v>0</v>
      </c>
      <c r="M101" s="493">
        <f t="shared" si="20"/>
        <v>79217.963847999999</v>
      </c>
      <c r="N101" s="493">
        <f t="shared" si="20"/>
        <v>199849.13371199998</v>
      </c>
      <c r="O101" s="226" t="str">
        <f>FHD_NOTE_P_38</f>
        <v>Указываются общее изменение стоимости основных фондов за счет их ввода в эксплуатацию и вывода из эксплуатации.</v>
      </c>
      <c r="P101" s="2326"/>
      <c r="Q101" s="2328">
        <f t="shared" si="13"/>
        <v>925592.80056699994</v>
      </c>
      <c r="R101" s="2326"/>
      <c r="S101" s="2326"/>
      <c r="T101" s="2326"/>
      <c r="U101" s="2327"/>
      <c r="V101" s="2327"/>
      <c r="W101" s="2327"/>
      <c r="X101" s="2327"/>
      <c r="Z101" s="480"/>
      <c r="AF101" s="1555"/>
      <c r="AG101" s="1555"/>
      <c r="AH101" s="1555"/>
      <c r="AI101" s="1555"/>
      <c r="AJ101" s="1555"/>
      <c r="AK101" s="1083">
        <v>19</v>
      </c>
    </row>
    <row r="102" spans="1:37" s="1289" customFormat="1" ht="29.25" customHeight="1">
      <c r="A102" s="914"/>
      <c r="C102" s="1559"/>
      <c r="D102" s="1561"/>
      <c r="E102" s="482" t="str">
        <f>FHD_NUM_P_39</f>
        <v>5.1.1</v>
      </c>
      <c r="F102" s="1573" t="str">
        <f>FHD_P_39</f>
        <v>Изменения стоимости основных фондов за счет их ввода в эксплуатацию</v>
      </c>
      <c r="G102" s="1986" t="s">
        <v>569</v>
      </c>
      <c r="H102" s="493"/>
      <c r="I102" s="493">
        <v>100480.782995</v>
      </c>
      <c r="J102" s="493">
        <v>266544.61472299998</v>
      </c>
      <c r="K102" s="493">
        <v>268129.01598500001</v>
      </c>
      <c r="L102" s="493">
        <v>0</v>
      </c>
      <c r="M102" s="493">
        <v>78909.209040999995</v>
      </c>
      <c r="N102" s="493">
        <v>199536.12763999999</v>
      </c>
      <c r="O102" s="226" t="str">
        <f>FHD_NOTE_P_39</f>
        <v>Указываются изменение стоимости основных фондов за счет их ввода в эксплуатацию.</v>
      </c>
      <c r="P102" s="2326"/>
      <c r="Q102" s="2328">
        <f t="shared" si="13"/>
        <v>913599.7503839999</v>
      </c>
      <c r="R102" s="2326"/>
      <c r="S102" s="2326"/>
      <c r="T102" s="2326"/>
      <c r="U102" s="2327"/>
      <c r="V102" s="2327"/>
      <c r="W102" s="2327"/>
      <c r="X102" s="2327"/>
      <c r="Z102" s="480"/>
      <c r="AF102" s="1555"/>
      <c r="AG102" s="1555"/>
      <c r="AH102" s="1555"/>
      <c r="AI102" s="1555"/>
      <c r="AJ102" s="1555"/>
      <c r="AK102" s="1083">
        <v>19</v>
      </c>
    </row>
    <row r="103" spans="1:37" s="1289" customFormat="1" ht="29.25" customHeight="1">
      <c r="A103" s="914"/>
      <c r="C103" s="1559"/>
      <c r="D103" s="1561"/>
      <c r="E103" s="482" t="str">
        <f>FHD_NUM_P_40</f>
        <v>5.1.2</v>
      </c>
      <c r="F103" s="1990" t="str">
        <f>FHD_P_40</f>
        <v>Изменения стоимости основных фондов за счет их вывода в эксплуатацию</v>
      </c>
      <c r="G103" s="1985" t="s">
        <v>569</v>
      </c>
      <c r="H103" s="903"/>
      <c r="I103" s="493">
        <v>2450.614834</v>
      </c>
      <c r="J103" s="903">
        <v>6.9478720000000003</v>
      </c>
      <c r="K103" s="903">
        <v>8913.7265979999993</v>
      </c>
      <c r="L103" s="903">
        <v>0</v>
      </c>
      <c r="M103" s="903">
        <v>308.75480700000003</v>
      </c>
      <c r="N103" s="903">
        <v>313.00607200000002</v>
      </c>
      <c r="O103" s="226" t="str">
        <f>FHD_NOTE_P_40</f>
        <v>Указываются изменение стоимости основных фондов за счет их вывода из эксплуатации.</v>
      </c>
      <c r="P103" s="2326"/>
      <c r="Q103" s="2328">
        <f t="shared" si="13"/>
        <v>11993.050182999999</v>
      </c>
      <c r="R103" s="2326"/>
      <c r="S103" s="2326"/>
      <c r="T103" s="2326"/>
      <c r="U103" s="2327"/>
      <c r="V103" s="2327"/>
      <c r="W103" s="2327"/>
      <c r="X103" s="2327"/>
      <c r="Z103" s="480"/>
      <c r="AF103" s="1555"/>
      <c r="AG103" s="1555"/>
      <c r="AH103" s="1555"/>
      <c r="AI103" s="1555"/>
      <c r="AJ103" s="1555"/>
      <c r="AK103" s="1083">
        <v>19</v>
      </c>
    </row>
    <row r="104" spans="1:37" s="1289" customFormat="1" ht="19.899999999999999" customHeight="1">
      <c r="A104" s="914"/>
      <c r="C104" s="1559"/>
      <c r="D104" s="1561"/>
      <c r="E104" s="482" t="str">
        <f>FHD_NUM_P_41</f>
        <v>5.2</v>
      </c>
      <c r="F104" s="1989" t="str">
        <f>FHD_P_41</f>
        <v>Изменение стоимости основных фондов за счет их переоценки</v>
      </c>
      <c r="G104" s="1985" t="s">
        <v>569</v>
      </c>
      <c r="H104" s="903"/>
      <c r="I104" s="493">
        <v>0</v>
      </c>
      <c r="J104" s="903">
        <v>0</v>
      </c>
      <c r="K104" s="903">
        <v>0</v>
      </c>
      <c r="L104" s="903">
        <v>0</v>
      </c>
      <c r="M104" s="903">
        <v>0</v>
      </c>
      <c r="N104" s="903">
        <v>0</v>
      </c>
      <c r="O104" s="226" t="str">
        <f>FHD_NOTE_P_41</f>
        <v/>
      </c>
      <c r="P104" s="2326"/>
      <c r="Q104" s="2328">
        <f t="shared" si="13"/>
        <v>0</v>
      </c>
      <c r="R104" s="2326"/>
      <c r="S104" s="2326"/>
      <c r="T104" s="2326"/>
      <c r="U104" s="2327"/>
      <c r="V104" s="2327"/>
      <c r="W104" s="2327"/>
      <c r="X104" s="2327"/>
      <c r="Z104" s="480"/>
      <c r="AF104" s="1555"/>
      <c r="AG104" s="1555"/>
      <c r="AH104" s="1555"/>
      <c r="AI104" s="1555"/>
      <c r="AJ104" s="1555"/>
      <c r="AK104" s="1083">
        <v>19</v>
      </c>
    </row>
    <row r="105" spans="1:37" s="1289" customFormat="1" ht="20.25" hidden="1" customHeight="1">
      <c r="A105" s="916" t="s">
        <v>606</v>
      </c>
      <c r="C105" s="1559"/>
      <c r="D105" s="1561"/>
      <c r="E105" s="482" t="str">
        <f>FHD_NUM_P_42</f>
        <v/>
      </c>
      <c r="F105" s="1987" t="str">
        <f>FHD_P_42</f>
        <v/>
      </c>
      <c r="G105" s="1985" t="s">
        <v>569</v>
      </c>
      <c r="H105" s="903"/>
      <c r="I105" s="493"/>
      <c r="J105" s="903"/>
      <c r="K105" s="903"/>
      <c r="L105" s="903"/>
      <c r="M105" s="903"/>
      <c r="N105" s="903"/>
      <c r="O105" s="226" t="str">
        <f>FHD_NOTE_P_42</f>
        <v/>
      </c>
      <c r="P105" s="2326"/>
      <c r="Q105" s="2328">
        <f t="shared" si="13"/>
        <v>0</v>
      </c>
      <c r="R105" s="2326"/>
      <c r="S105" s="2326"/>
      <c r="T105" s="2326"/>
      <c r="U105" s="2327"/>
      <c r="V105" s="2327"/>
      <c r="W105" s="2327"/>
      <c r="X105" s="2327"/>
      <c r="Z105" s="480"/>
      <c r="AF105" s="1555"/>
      <c r="AG105" s="1555"/>
      <c r="AH105" s="1555"/>
      <c r="AI105" s="1555"/>
      <c r="AJ105" s="1555"/>
      <c r="AK105" s="1083">
        <v>19</v>
      </c>
    </row>
    <row r="106" spans="1:37" s="1289" customFormat="1" ht="39.75" customHeight="1">
      <c r="A106" s="914"/>
      <c r="C106" s="1559" t="s">
        <v>607</v>
      </c>
      <c r="D106" s="1561"/>
      <c r="E106" s="482" t="str">
        <f>FHD_NUM_P_43</f>
        <v>6</v>
      </c>
      <c r="F106" s="1797" t="str">
        <f>FHD_P_43</f>
        <v>Годовая бухгалтерская (финансовая) отчетность, включая бухгалтерский баланс и приложения к нему</v>
      </c>
      <c r="G106" s="1988" t="s">
        <v>325</v>
      </c>
      <c r="H106" s="982"/>
      <c r="I106" s="747" t="s">
        <v>608</v>
      </c>
      <c r="J106" s="982" t="s">
        <v>608</v>
      </c>
      <c r="K106" s="982" t="s">
        <v>608</v>
      </c>
      <c r="L106" s="982" t="s">
        <v>608</v>
      </c>
      <c r="M106" s="982" t="s">
        <v>608</v>
      </c>
      <c r="N106" s="982" t="s">
        <v>608</v>
      </c>
      <c r="O106" s="226"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P106" s="2326"/>
      <c r="Q106" s="2328" t="e">
        <f t="shared" si="13"/>
        <v>#VALUE!</v>
      </c>
      <c r="R106" s="2326"/>
      <c r="S106" s="2326"/>
      <c r="T106" s="2326"/>
      <c r="U106" s="2327"/>
      <c r="V106" s="2327"/>
      <c r="W106" s="2327"/>
      <c r="X106" s="2327"/>
      <c r="Z106" s="480"/>
      <c r="AF106" s="1555"/>
      <c r="AG106" s="1555"/>
      <c r="AH106" s="1555"/>
      <c r="AI106" s="1555"/>
      <c r="AJ106" s="1555"/>
      <c r="AK106" s="1083">
        <v>19</v>
      </c>
    </row>
    <row r="107" spans="1:37" s="1289" customFormat="1" ht="18.75" hidden="1" customHeight="1">
      <c r="A107" s="2595" t="s">
        <v>609</v>
      </c>
      <c r="C107" s="670"/>
      <c r="D107" s="669"/>
      <c r="E107" s="482" t="str">
        <f>FHD_NUM_P_44</f>
        <v/>
      </c>
      <c r="F107" s="1797" t="str">
        <f>FHD_P_44</f>
        <v/>
      </c>
      <c r="G107" s="1798" t="s">
        <v>610</v>
      </c>
      <c r="H107" s="904"/>
      <c r="I107" s="513"/>
      <c r="J107" s="904"/>
      <c r="K107" s="904"/>
      <c r="L107" s="904"/>
      <c r="M107" s="904"/>
      <c r="N107" s="904"/>
      <c r="O107" s="226" t="str">
        <f>FHD_NOTE_P_44</f>
        <v/>
      </c>
      <c r="P107" s="2326"/>
      <c r="Q107" s="2328">
        <f t="shared" si="13"/>
        <v>0</v>
      </c>
      <c r="R107" s="2326"/>
      <c r="S107" s="2326"/>
      <c r="T107" s="2326"/>
      <c r="U107" s="2327"/>
      <c r="V107" s="2327"/>
      <c r="W107" s="2327"/>
      <c r="X107" s="2327"/>
      <c r="Z107" s="671"/>
      <c r="AF107" s="672"/>
      <c r="AG107" s="672"/>
      <c r="AH107" s="672"/>
      <c r="AI107" s="672"/>
      <c r="AJ107" s="672"/>
      <c r="AK107" s="838">
        <v>0</v>
      </c>
    </row>
    <row r="108" spans="1:37" s="1289" customFormat="1" ht="18.75" hidden="1" customHeight="1">
      <c r="A108" s="2595"/>
      <c r="C108" s="670"/>
      <c r="D108" s="669"/>
      <c r="E108" s="482" t="str">
        <f>FHD_NUM_P_45</f>
        <v/>
      </c>
      <c r="F108" s="1797" t="str">
        <f>FHD_P_45</f>
        <v/>
      </c>
      <c r="G108" s="1798" t="s">
        <v>610</v>
      </c>
      <c r="H108" s="904"/>
      <c r="I108" s="513"/>
      <c r="J108" s="904"/>
      <c r="K108" s="904"/>
      <c r="L108" s="904"/>
      <c r="M108" s="904"/>
      <c r="N108" s="904"/>
      <c r="O108" s="226" t="str">
        <f>FHD_NOTE_P_45</f>
        <v/>
      </c>
      <c r="P108" s="2326"/>
      <c r="Q108" s="2328">
        <f t="shared" si="13"/>
        <v>0</v>
      </c>
      <c r="R108" s="2326"/>
      <c r="S108" s="2326"/>
      <c r="T108" s="2326"/>
      <c r="U108" s="2327"/>
      <c r="V108" s="2327"/>
      <c r="W108" s="2327"/>
      <c r="X108" s="2327"/>
      <c r="Z108" s="671"/>
      <c r="AF108" s="672"/>
      <c r="AG108" s="672"/>
      <c r="AH108" s="672"/>
      <c r="AI108" s="672"/>
      <c r="AJ108" s="672"/>
      <c r="AK108" s="838">
        <v>0</v>
      </c>
    </row>
    <row r="109" spans="1:37" s="1289" customFormat="1" ht="18.75" hidden="1" customHeight="1">
      <c r="A109" s="2595"/>
      <c r="C109" s="670"/>
      <c r="D109" s="673"/>
      <c r="E109" s="482" t="str">
        <f>FHD_NUM_P_46</f>
        <v/>
      </c>
      <c r="F109" s="1797" t="str">
        <f>FHD_P_46</f>
        <v/>
      </c>
      <c r="G109" s="1798" t="s">
        <v>610</v>
      </c>
      <c r="H109" s="904"/>
      <c r="I109" s="513"/>
      <c r="J109" s="904"/>
      <c r="K109" s="904"/>
      <c r="L109" s="904"/>
      <c r="M109" s="904"/>
      <c r="N109" s="904"/>
      <c r="O109" s="226" t="str">
        <f>FHD_NOTE_P_46</f>
        <v/>
      </c>
      <c r="P109" s="2326"/>
      <c r="Q109" s="2328">
        <f t="shared" si="13"/>
        <v>0</v>
      </c>
      <c r="R109" s="2326"/>
      <c r="S109" s="2326"/>
      <c r="T109" s="2326"/>
      <c r="U109" s="2327"/>
      <c r="V109" s="2327"/>
      <c r="W109" s="2327"/>
      <c r="X109" s="2327"/>
      <c r="Z109" s="671"/>
      <c r="AF109" s="672"/>
      <c r="AG109" s="672"/>
      <c r="AH109" s="672"/>
      <c r="AI109" s="672"/>
      <c r="AJ109" s="672"/>
      <c r="AK109" s="838">
        <v>0</v>
      </c>
    </row>
    <row r="110" spans="1:37" s="1289" customFormat="1" ht="18.75" hidden="1" customHeight="1">
      <c r="A110" s="2595"/>
      <c r="C110" s="670"/>
      <c r="D110" s="669"/>
      <c r="E110" s="482" t="str">
        <f>FHD_NUM_P_47</f>
        <v/>
      </c>
      <c r="F110" s="1797" t="str">
        <f>FHD_P_47</f>
        <v/>
      </c>
      <c r="G110" s="1798" t="s">
        <v>610</v>
      </c>
      <c r="H110" s="904"/>
      <c r="I110" s="513"/>
      <c r="J110" s="904"/>
      <c r="K110" s="904"/>
      <c r="L110" s="904"/>
      <c r="M110" s="904"/>
      <c r="N110" s="904"/>
      <c r="O110" s="226" t="str">
        <f>FHD_NOTE_P_47</f>
        <v/>
      </c>
      <c r="P110" s="2326"/>
      <c r="Q110" s="2328">
        <f t="shared" si="13"/>
        <v>0</v>
      </c>
      <c r="R110" s="2326"/>
      <c r="S110" s="2326"/>
      <c r="T110" s="2326"/>
      <c r="U110" s="2327"/>
      <c r="V110" s="2327"/>
      <c r="W110" s="2327"/>
      <c r="X110" s="2327"/>
      <c r="Z110" s="671"/>
      <c r="AF110" s="672"/>
      <c r="AG110" s="672"/>
      <c r="AH110" s="672"/>
      <c r="AI110" s="672"/>
      <c r="AJ110" s="672"/>
      <c r="AK110" s="838">
        <v>0</v>
      </c>
    </row>
    <row r="111" spans="1:37" s="1558" customFormat="1" ht="18.75" hidden="1" customHeight="1">
      <c r="A111" s="2595"/>
      <c r="B111" s="838"/>
      <c r="C111" s="670"/>
      <c r="D111" s="669"/>
      <c r="E111" s="482" t="str">
        <f>FHD_NUM_P_48</f>
        <v/>
      </c>
      <c r="F111" s="1797" t="str">
        <f>FHD_P_48</f>
        <v/>
      </c>
      <c r="G111" s="1798" t="s">
        <v>610</v>
      </c>
      <c r="H111" s="904"/>
      <c r="I111" s="513"/>
      <c r="J111" s="904"/>
      <c r="K111" s="904"/>
      <c r="L111" s="904"/>
      <c r="M111" s="904"/>
      <c r="N111" s="904"/>
      <c r="O111" s="226" t="str">
        <f>FHD_NOTE_P_48</f>
        <v/>
      </c>
      <c r="P111" s="2326"/>
      <c r="Q111" s="2328">
        <f t="shared" si="13"/>
        <v>0</v>
      </c>
      <c r="R111" s="2326"/>
      <c r="S111" s="2326"/>
      <c r="T111" s="2326"/>
      <c r="U111" s="2327"/>
      <c r="V111" s="2327"/>
      <c r="W111" s="2327"/>
      <c r="X111" s="2327"/>
      <c r="Y111" s="838"/>
      <c r="Z111" s="671"/>
      <c r="AA111" s="838"/>
      <c r="AB111" s="838"/>
      <c r="AC111" s="838"/>
      <c r="AD111" s="838"/>
      <c r="AE111" s="838"/>
      <c r="AF111" s="672"/>
      <c r="AG111" s="672"/>
      <c r="AH111" s="672"/>
      <c r="AI111" s="672"/>
      <c r="AJ111" s="672"/>
      <c r="AK111" s="674">
        <v>0</v>
      </c>
    </row>
    <row r="112" spans="1:37" s="1558" customFormat="1" ht="18.75" hidden="1" customHeight="1">
      <c r="A112" s="2595"/>
      <c r="B112" s="838"/>
      <c r="C112" s="670"/>
      <c r="D112" s="669"/>
      <c r="E112" s="482" t="str">
        <f>FHD_NUM_P_49</f>
        <v/>
      </c>
      <c r="F112" s="1797" t="str">
        <f>FHD_P_49</f>
        <v/>
      </c>
      <c r="G112" s="1798" t="s">
        <v>610</v>
      </c>
      <c r="H112" s="905">
        <f t="shared" ref="H112:N112" si="21">SUM(H113:H114)</f>
        <v>0</v>
      </c>
      <c r="I112" s="684">
        <f t="shared" si="21"/>
        <v>0</v>
      </c>
      <c r="J112" s="905">
        <f t="shared" si="21"/>
        <v>0</v>
      </c>
      <c r="K112" s="905">
        <f t="shared" si="21"/>
        <v>0</v>
      </c>
      <c r="L112" s="905">
        <f t="shared" si="21"/>
        <v>0</v>
      </c>
      <c r="M112" s="905">
        <f t="shared" si="21"/>
        <v>0</v>
      </c>
      <c r="N112" s="905">
        <f t="shared" si="21"/>
        <v>0</v>
      </c>
      <c r="O112" s="226" t="str">
        <f>FHD_NOTE_P_49</f>
        <v/>
      </c>
      <c r="P112" s="2326"/>
      <c r="Q112" s="2328">
        <f t="shared" si="13"/>
        <v>0</v>
      </c>
      <c r="R112" s="2326"/>
      <c r="S112" s="2326"/>
      <c r="T112" s="2326"/>
      <c r="U112" s="2327"/>
      <c r="V112" s="2327"/>
      <c r="W112" s="2327"/>
      <c r="X112" s="2327"/>
      <c r="Y112" s="838"/>
      <c r="Z112" s="671"/>
      <c r="AA112" s="838"/>
      <c r="AB112" s="838"/>
      <c r="AC112" s="838"/>
      <c r="AD112" s="838"/>
      <c r="AE112" s="838"/>
      <c r="AF112" s="672"/>
      <c r="AG112" s="672"/>
      <c r="AH112" s="672"/>
      <c r="AI112" s="672"/>
      <c r="AJ112" s="672"/>
      <c r="AK112" s="674">
        <v>0</v>
      </c>
    </row>
    <row r="113" spans="1:37" s="1558" customFormat="1" ht="18.75" hidden="1" customHeight="1">
      <c r="A113" s="2595"/>
      <c r="B113" s="838"/>
      <c r="C113" s="670"/>
      <c r="D113" s="669"/>
      <c r="E113" s="482" t="str">
        <f>FHD_NUM_P_50</f>
        <v/>
      </c>
      <c r="F113" s="1797" t="str">
        <f>FHD_P_50</f>
        <v/>
      </c>
      <c r="G113" s="1798" t="s">
        <v>610</v>
      </c>
      <c r="H113" s="904"/>
      <c r="I113" s="513"/>
      <c r="J113" s="904"/>
      <c r="K113" s="904"/>
      <c r="L113" s="904"/>
      <c r="M113" s="904"/>
      <c r="N113" s="904"/>
      <c r="O113" s="226" t="str">
        <f>FHD_NOTE_P_50</f>
        <v/>
      </c>
      <c r="P113" s="2326"/>
      <c r="Q113" s="2328">
        <f t="shared" si="13"/>
        <v>0</v>
      </c>
      <c r="R113" s="2326"/>
      <c r="S113" s="2326"/>
      <c r="T113" s="2326"/>
      <c r="U113" s="2327"/>
      <c r="V113" s="2327"/>
      <c r="W113" s="2327"/>
      <c r="X113" s="2327"/>
      <c r="Y113" s="838"/>
      <c r="Z113" s="671"/>
      <c r="AA113" s="838"/>
      <c r="AB113" s="838"/>
      <c r="AC113" s="838"/>
      <c r="AD113" s="838"/>
      <c r="AE113" s="838"/>
      <c r="AF113" s="672"/>
      <c r="AG113" s="672"/>
      <c r="AH113" s="672"/>
      <c r="AI113" s="672"/>
      <c r="AJ113" s="672"/>
      <c r="AK113" s="674">
        <v>0</v>
      </c>
    </row>
    <row r="114" spans="1:37" s="1558" customFormat="1" ht="18.75" hidden="1" customHeight="1">
      <c r="A114" s="2595"/>
      <c r="B114" s="838"/>
      <c r="C114" s="670"/>
      <c r="D114" s="669"/>
      <c r="E114" s="482" t="str">
        <f>FHD_NUM_P_51</f>
        <v/>
      </c>
      <c r="F114" s="1797" t="str">
        <f>FHD_P_51</f>
        <v/>
      </c>
      <c r="G114" s="1798" t="s">
        <v>610</v>
      </c>
      <c r="H114" s="904"/>
      <c r="I114" s="513"/>
      <c r="J114" s="904"/>
      <c r="K114" s="904"/>
      <c r="L114" s="904"/>
      <c r="M114" s="904"/>
      <c r="N114" s="904"/>
      <c r="O114" s="226" t="str">
        <f>FHD_NOTE_P_51</f>
        <v/>
      </c>
      <c r="P114" s="2326"/>
      <c r="Q114" s="2328">
        <f t="shared" si="13"/>
        <v>0</v>
      </c>
      <c r="R114" s="2326"/>
      <c r="S114" s="2326"/>
      <c r="T114" s="2326"/>
      <c r="U114" s="2327"/>
      <c r="V114" s="2327"/>
      <c r="W114" s="2327"/>
      <c r="X114" s="2327"/>
      <c r="Y114" s="838"/>
      <c r="Z114" s="671"/>
      <c r="AA114" s="838"/>
      <c r="AB114" s="838"/>
      <c r="AC114" s="838"/>
      <c r="AD114" s="838"/>
      <c r="AE114" s="838"/>
      <c r="AF114" s="672"/>
      <c r="AG114" s="672"/>
      <c r="AH114" s="672"/>
      <c r="AI114" s="672"/>
      <c r="AJ114" s="672"/>
      <c r="AK114" s="674">
        <v>0</v>
      </c>
    </row>
    <row r="115" spans="1:37" s="1558" customFormat="1" ht="18.75" hidden="1" customHeight="1">
      <c r="A115" s="2595"/>
      <c r="B115" s="838"/>
      <c r="C115" s="670"/>
      <c r="D115" s="669"/>
      <c r="E115" s="482" t="str">
        <f>FHD_NUM_P_52</f>
        <v/>
      </c>
      <c r="F115" s="1797" t="str">
        <f>FHD_P_52</f>
        <v/>
      </c>
      <c r="G115" s="1798" t="s">
        <v>575</v>
      </c>
      <c r="H115" s="903"/>
      <c r="I115" s="493"/>
      <c r="J115" s="903"/>
      <c r="K115" s="903"/>
      <c r="L115" s="903"/>
      <c r="M115" s="903"/>
      <c r="N115" s="903"/>
      <c r="O115" s="226" t="str">
        <f>FHD_NOTE_P_52</f>
        <v/>
      </c>
      <c r="P115" s="2326"/>
      <c r="Q115" s="2328">
        <f t="shared" si="13"/>
        <v>0</v>
      </c>
      <c r="R115" s="2326"/>
      <c r="S115" s="2326"/>
      <c r="T115" s="2326"/>
      <c r="U115" s="2327"/>
      <c r="V115" s="2327"/>
      <c r="W115" s="2327"/>
      <c r="X115" s="2327"/>
      <c r="Y115" s="838"/>
      <c r="Z115" s="671"/>
      <c r="AA115" s="838"/>
      <c r="AB115" s="838"/>
      <c r="AC115" s="838"/>
      <c r="AD115" s="838"/>
      <c r="AE115" s="838"/>
      <c r="AF115" s="672"/>
      <c r="AG115" s="672"/>
      <c r="AH115" s="672"/>
      <c r="AI115" s="672"/>
      <c r="AJ115" s="672"/>
      <c r="AK115" s="674">
        <v>0</v>
      </c>
    </row>
    <row r="116" spans="1:37" s="1289" customFormat="1" ht="18.75" hidden="1" customHeight="1">
      <c r="A116" s="2595" t="s">
        <v>611</v>
      </c>
      <c r="C116" s="670"/>
      <c r="D116" s="669"/>
      <c r="E116" s="482" t="str">
        <f>FHD_NUM_P_53</f>
        <v/>
      </c>
      <c r="F116" s="1797" t="str">
        <f>FHD_P_53</f>
        <v/>
      </c>
      <c r="G116" s="1798" t="s">
        <v>610</v>
      </c>
      <c r="H116" s="904"/>
      <c r="I116" s="513"/>
      <c r="J116" s="904"/>
      <c r="K116" s="904"/>
      <c r="L116" s="904"/>
      <c r="M116" s="904"/>
      <c r="N116" s="904"/>
      <c r="O116" s="226" t="str">
        <f>FHD_NOTE_P_53</f>
        <v/>
      </c>
      <c r="P116" s="2326"/>
      <c r="Q116" s="2328">
        <f t="shared" si="13"/>
        <v>0</v>
      </c>
      <c r="R116" s="2326"/>
      <c r="S116" s="2326"/>
      <c r="T116" s="2326"/>
      <c r="U116" s="2327"/>
      <c r="V116" s="2327"/>
      <c r="W116" s="2327"/>
      <c r="X116" s="2327"/>
      <c r="Z116" s="671"/>
      <c r="AF116" s="672"/>
      <c r="AG116" s="672"/>
      <c r="AH116" s="672"/>
      <c r="AI116" s="672"/>
      <c r="AJ116" s="672"/>
      <c r="AK116" s="838">
        <v>0</v>
      </c>
    </row>
    <row r="117" spans="1:37" s="1289" customFormat="1" ht="18.75" hidden="1" customHeight="1">
      <c r="A117" s="2595"/>
      <c r="C117" s="670"/>
      <c r="D117" s="669"/>
      <c r="E117" s="482" t="str">
        <f>FHD_NUM_P_54</f>
        <v/>
      </c>
      <c r="F117" s="1797" t="str">
        <f>FHD_P_54</f>
        <v/>
      </c>
      <c r="G117" s="1798" t="s">
        <v>610</v>
      </c>
      <c r="H117" s="904"/>
      <c r="I117" s="513"/>
      <c r="J117" s="904"/>
      <c r="K117" s="904"/>
      <c r="L117" s="904"/>
      <c r="M117" s="904"/>
      <c r="N117" s="904"/>
      <c r="O117" s="226" t="str">
        <f>FHD_NOTE_P_54</f>
        <v/>
      </c>
      <c r="P117" s="2326"/>
      <c r="Q117" s="2328">
        <f t="shared" si="13"/>
        <v>0</v>
      </c>
      <c r="R117" s="2326"/>
      <c r="S117" s="2326"/>
      <c r="T117" s="2326"/>
      <c r="U117" s="2327"/>
      <c r="V117" s="2327"/>
      <c r="W117" s="2327"/>
      <c r="X117" s="2327"/>
      <c r="Z117" s="671"/>
      <c r="AF117" s="672"/>
      <c r="AG117" s="672"/>
      <c r="AH117" s="672"/>
      <c r="AI117" s="672"/>
      <c r="AJ117" s="672"/>
      <c r="AK117" s="838">
        <v>0</v>
      </c>
    </row>
    <row r="118" spans="1:37" s="1289" customFormat="1" ht="18.75" hidden="1" customHeight="1">
      <c r="A118" s="2595"/>
      <c r="C118" s="670"/>
      <c r="D118" s="673"/>
      <c r="E118" s="482" t="str">
        <f>FHD_NUM_P_55</f>
        <v/>
      </c>
      <c r="F118" s="1797" t="str">
        <f>FHD_P_55</f>
        <v/>
      </c>
      <c r="G118" s="1801"/>
      <c r="H118" s="904"/>
      <c r="I118" s="513"/>
      <c r="J118" s="904"/>
      <c r="K118" s="904"/>
      <c r="L118" s="904"/>
      <c r="M118" s="904"/>
      <c r="N118" s="904"/>
      <c r="O118" s="226" t="str">
        <f>FHD_NOTE_P_55</f>
        <v/>
      </c>
      <c r="P118" s="2326"/>
      <c r="Q118" s="2328">
        <f t="shared" si="13"/>
        <v>0</v>
      </c>
      <c r="R118" s="2326"/>
      <c r="S118" s="2326"/>
      <c r="T118" s="2326"/>
      <c r="U118" s="2327"/>
      <c r="V118" s="2327"/>
      <c r="W118" s="2327"/>
      <c r="X118" s="2327"/>
      <c r="Z118" s="671"/>
      <c r="AF118" s="672"/>
      <c r="AG118" s="672"/>
      <c r="AH118" s="672"/>
      <c r="AI118" s="672"/>
      <c r="AJ118" s="672"/>
      <c r="AK118" s="838">
        <v>0</v>
      </c>
    </row>
    <row r="119" spans="1:37" s="1289" customFormat="1" ht="18.75" hidden="1" customHeight="1">
      <c r="A119" s="2595"/>
      <c r="C119" s="670"/>
      <c r="D119" s="669"/>
      <c r="E119" s="482" t="str">
        <f>FHD_NUM_P_56</f>
        <v/>
      </c>
      <c r="F119" s="1797" t="str">
        <f>FHD_P_56</f>
        <v/>
      </c>
      <c r="G119" s="1798" t="s">
        <v>612</v>
      </c>
      <c r="H119" s="904"/>
      <c r="I119" s="513"/>
      <c r="J119" s="904"/>
      <c r="K119" s="904"/>
      <c r="L119" s="904"/>
      <c r="M119" s="904"/>
      <c r="N119" s="904"/>
      <c r="O119" s="226" t="str">
        <f>FHD_NOTE_P_56</f>
        <v/>
      </c>
      <c r="P119" s="2326"/>
      <c r="Q119" s="2328">
        <f t="shared" si="13"/>
        <v>0</v>
      </c>
      <c r="R119" s="2326"/>
      <c r="S119" s="2326"/>
      <c r="T119" s="2326"/>
      <c r="U119" s="2327"/>
      <c r="V119" s="2327"/>
      <c r="W119" s="2327"/>
      <c r="X119" s="2327"/>
      <c r="Z119" s="671"/>
      <c r="AF119" s="672"/>
      <c r="AG119" s="672"/>
      <c r="AH119" s="672"/>
      <c r="AI119" s="672"/>
      <c r="AJ119" s="672"/>
      <c r="AK119" s="838">
        <v>0</v>
      </c>
    </row>
    <row r="120" spans="1:37" s="1558" customFormat="1" ht="18.75" hidden="1" customHeight="1">
      <c r="A120" s="2595"/>
      <c r="B120" s="838"/>
      <c r="C120" s="670"/>
      <c r="D120" s="669"/>
      <c r="E120" s="482" t="str">
        <f>FHD_NUM_P_57</f>
        <v/>
      </c>
      <c r="F120" s="1797" t="str">
        <f>FHD_P_57</f>
        <v/>
      </c>
      <c r="G120" s="1798" t="s">
        <v>575</v>
      </c>
      <c r="H120" s="903"/>
      <c r="I120" s="493"/>
      <c r="J120" s="903"/>
      <c r="K120" s="903"/>
      <c r="L120" s="903"/>
      <c r="M120" s="903"/>
      <c r="N120" s="903"/>
      <c r="O120" s="226" t="str">
        <f>FHD_NOTE_P_57</f>
        <v/>
      </c>
      <c r="P120" s="2326"/>
      <c r="Q120" s="2328">
        <f t="shared" si="13"/>
        <v>0</v>
      </c>
      <c r="R120" s="2326"/>
      <c r="S120" s="2326"/>
      <c r="T120" s="2326"/>
      <c r="U120" s="2327"/>
      <c r="V120" s="2327"/>
      <c r="W120" s="2327"/>
      <c r="X120" s="2327"/>
      <c r="Y120" s="838"/>
      <c r="Z120" s="671"/>
      <c r="AA120" s="838"/>
      <c r="AB120" s="838"/>
      <c r="AC120" s="838"/>
      <c r="AD120" s="838"/>
      <c r="AE120" s="838"/>
      <c r="AF120" s="672"/>
      <c r="AG120" s="672"/>
      <c r="AH120" s="672"/>
      <c r="AI120" s="672"/>
      <c r="AJ120" s="672"/>
      <c r="AK120" s="674">
        <v>0</v>
      </c>
    </row>
    <row r="121" spans="1:37" ht="18.75" hidden="1" customHeight="1">
      <c r="A121" s="2595" t="s">
        <v>613</v>
      </c>
      <c r="D121" s="1561"/>
      <c r="E121" s="482" t="str">
        <f>FHD_NUM_P_58</f>
        <v/>
      </c>
      <c r="F121" s="1797" t="str">
        <f>FHD_P_58</f>
        <v/>
      </c>
      <c r="G121" s="1798" t="s">
        <v>610</v>
      </c>
      <c r="H121" s="904"/>
      <c r="I121" s="513"/>
      <c r="J121" s="904"/>
      <c r="K121" s="904"/>
      <c r="L121" s="904"/>
      <c r="M121" s="904"/>
      <c r="N121" s="904"/>
      <c r="O121" s="226" t="str">
        <f>FHD_NOTE_P_58</f>
        <v/>
      </c>
      <c r="Q121" s="2328">
        <f t="shared" si="13"/>
        <v>0</v>
      </c>
      <c r="AK121" s="1554">
        <v>0</v>
      </c>
    </row>
    <row r="122" spans="1:37" ht="18.75" hidden="1" customHeight="1">
      <c r="A122" s="2595"/>
      <c r="D122" s="1561"/>
      <c r="E122" s="482" t="str">
        <f>FHD_NUM_P_59</f>
        <v/>
      </c>
      <c r="F122" s="1797" t="str">
        <f>FHD_P_59</f>
        <v/>
      </c>
      <c r="G122" s="1798" t="s">
        <v>610</v>
      </c>
      <c r="H122" s="904"/>
      <c r="I122" s="513"/>
      <c r="J122" s="904"/>
      <c r="K122" s="904"/>
      <c r="L122" s="904"/>
      <c r="M122" s="904"/>
      <c r="N122" s="904"/>
      <c r="O122" s="226" t="str">
        <f>FHD_NOTE_P_59</f>
        <v/>
      </c>
      <c r="Q122" s="2328">
        <f t="shared" si="13"/>
        <v>0</v>
      </c>
      <c r="AK122" s="1554">
        <v>0</v>
      </c>
    </row>
    <row r="123" spans="1:37" ht="18.75" hidden="1" customHeight="1">
      <c r="A123" s="2595"/>
      <c r="D123" s="1561"/>
      <c r="E123" s="482" t="str">
        <f>FHD_NUM_P_60</f>
        <v/>
      </c>
      <c r="F123" s="1797" t="str">
        <f>FHD_P_60</f>
        <v/>
      </c>
      <c r="G123" s="1798" t="s">
        <v>610</v>
      </c>
      <c r="H123" s="904"/>
      <c r="I123" s="513"/>
      <c r="J123" s="904"/>
      <c r="K123" s="904"/>
      <c r="L123" s="904"/>
      <c r="M123" s="904"/>
      <c r="N123" s="904"/>
      <c r="O123" s="226" t="str">
        <f>FHD_NOTE_P_60</f>
        <v/>
      </c>
      <c r="Q123" s="2328">
        <f t="shared" si="13"/>
        <v>0</v>
      </c>
      <c r="AK123" s="1554">
        <v>0</v>
      </c>
    </row>
    <row r="124" spans="1:37" s="1289" customFormat="1" ht="45" customHeight="1">
      <c r="A124" s="2595" t="s">
        <v>614</v>
      </c>
      <c r="C124" s="1559"/>
      <c r="D124" s="1561"/>
      <c r="E124" s="482" t="str">
        <f>FHD_NUM_P_61</f>
        <v>7</v>
      </c>
      <c r="F124" s="1797"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124" s="1795" t="s">
        <v>573</v>
      </c>
      <c r="H124" s="906"/>
      <c r="I124" s="677">
        <f>I126+I127+I128+I129+I130+I131</f>
        <v>1368</v>
      </c>
      <c r="J124" s="906">
        <f>J126+J127+J128+J129+J130+J131</f>
        <v>27.92</v>
      </c>
      <c r="K124" s="906">
        <v>0</v>
      </c>
      <c r="L124" s="906">
        <v>0</v>
      </c>
      <c r="M124" s="906">
        <v>0</v>
      </c>
      <c r="N124" s="906">
        <f>N126+N127+N128+N129+N130+N131</f>
        <v>1683</v>
      </c>
      <c r="O124" s="226"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P124" s="2326"/>
      <c r="Q124" s="2328">
        <f t="shared" si="13"/>
        <v>3078.92</v>
      </c>
      <c r="R124" s="2326"/>
      <c r="S124" s="2326"/>
      <c r="T124" s="2326"/>
      <c r="U124" s="2327"/>
      <c r="V124" s="2327"/>
      <c r="W124" s="2327"/>
      <c r="X124" s="2327"/>
      <c r="Z124" s="480"/>
      <c r="AF124" s="1555"/>
      <c r="AG124" s="1555"/>
      <c r="AH124" s="1555"/>
      <c r="AI124" s="1555"/>
      <c r="AJ124" s="1555"/>
      <c r="AK124" s="1083">
        <v>0</v>
      </c>
    </row>
    <row r="125" spans="1:37" s="1565" customFormat="1" ht="0.75" customHeight="1">
      <c r="A125" s="2595"/>
      <c r="D125" s="484"/>
      <c r="E125" s="940" t="str">
        <f>E124&amp;".0"</f>
        <v>7.0</v>
      </c>
      <c r="F125" s="921"/>
      <c r="G125" s="922"/>
      <c r="H125" s="919"/>
      <c r="I125" s="919"/>
      <c r="J125" s="919"/>
      <c r="K125" s="919"/>
      <c r="L125" s="919"/>
      <c r="M125" s="919"/>
      <c r="N125" s="919"/>
      <c r="O125" s="923"/>
      <c r="P125" s="2326"/>
      <c r="Q125" s="2328">
        <f t="shared" si="13"/>
        <v>0</v>
      </c>
      <c r="R125" s="2326"/>
      <c r="S125" s="2326"/>
      <c r="T125" s="2326"/>
      <c r="U125" s="2327"/>
      <c r="V125" s="2327"/>
      <c r="W125" s="2327"/>
      <c r="X125" s="2327"/>
      <c r="AK125" s="1559">
        <v>0</v>
      </c>
    </row>
    <row r="126" spans="1:37" s="1767" customFormat="1" ht="18.75" customHeight="1">
      <c r="A126" s="2596"/>
      <c r="B126" s="1289"/>
      <c r="C126" s="1565"/>
      <c r="D126" s="619" t="s">
        <v>104</v>
      </c>
      <c r="E126" s="482" t="str">
        <f>E124&amp;".1"</f>
        <v>7.1</v>
      </c>
      <c r="F126" s="476" t="s">
        <v>615</v>
      </c>
      <c r="G126" s="2026" t="s">
        <v>573</v>
      </c>
      <c r="H126" s="686"/>
      <c r="I126" s="686">
        <v>1368</v>
      </c>
      <c r="J126" s="686"/>
      <c r="K126" s="686"/>
      <c r="L126" s="686"/>
      <c r="M126" s="686"/>
      <c r="N126" s="686"/>
      <c r="O126" s="1448" t="s">
        <v>574</v>
      </c>
      <c r="P126" s="2326"/>
      <c r="Q126" s="2328">
        <f t="shared" si="13"/>
        <v>1368</v>
      </c>
      <c r="R126" s="2326"/>
      <c r="S126" s="2326"/>
      <c r="T126" s="2326"/>
      <c r="U126" s="2327"/>
      <c r="V126" s="2327"/>
      <c r="W126" s="2327"/>
      <c r="X126" s="2327"/>
      <c r="Y126" s="1289"/>
      <c r="Z126" s="671"/>
      <c r="AA126" s="1289"/>
      <c r="AB126" s="1289"/>
      <c r="AC126" s="1289"/>
      <c r="AD126" s="1289"/>
      <c r="AE126" s="1289"/>
      <c r="AF126" s="1555"/>
      <c r="AG126" s="1555"/>
      <c r="AH126" s="1555"/>
      <c r="AI126" s="1555"/>
      <c r="AJ126" s="1555"/>
      <c r="AK126" s="1558">
        <v>0</v>
      </c>
    </row>
    <row r="127" spans="1:37" s="1767" customFormat="1" ht="18.75" customHeight="1">
      <c r="A127" s="2596"/>
      <c r="B127" s="1289"/>
      <c r="C127" s="1565"/>
      <c r="D127" s="619" t="s">
        <v>104</v>
      </c>
      <c r="E127" s="482" t="str">
        <f>E124&amp;".2"</f>
        <v>7.2</v>
      </c>
      <c r="F127" s="476" t="s">
        <v>616</v>
      </c>
      <c r="G127" s="2026" t="s">
        <v>573</v>
      </c>
      <c r="H127" s="686"/>
      <c r="I127" s="686"/>
      <c r="J127" s="686">
        <v>2.06</v>
      </c>
      <c r="K127" s="686"/>
      <c r="L127" s="686"/>
      <c r="M127" s="686"/>
      <c r="N127" s="686"/>
      <c r="O127" s="1448" t="s">
        <v>574</v>
      </c>
      <c r="P127" s="2326"/>
      <c r="Q127" s="2328">
        <f t="shared" si="13"/>
        <v>2.06</v>
      </c>
      <c r="R127" s="2326"/>
      <c r="S127" s="2326"/>
      <c r="T127" s="2326"/>
      <c r="U127" s="2327"/>
      <c r="V127" s="2327"/>
      <c r="W127" s="2327"/>
      <c r="X127" s="2327"/>
      <c r="Y127" s="1289"/>
      <c r="Z127" s="671"/>
      <c r="AA127" s="1289"/>
      <c r="AB127" s="1289"/>
      <c r="AC127" s="1289"/>
      <c r="AD127" s="1289"/>
      <c r="AE127" s="1289"/>
      <c r="AF127" s="1555"/>
      <c r="AG127" s="1555"/>
      <c r="AH127" s="1555"/>
      <c r="AI127" s="1555"/>
      <c r="AJ127" s="1555"/>
      <c r="AK127" s="1558">
        <v>0</v>
      </c>
    </row>
    <row r="128" spans="1:37" s="1767" customFormat="1" ht="18.75" customHeight="1">
      <c r="A128" s="2596"/>
      <c r="B128" s="1289"/>
      <c r="C128" s="1565"/>
      <c r="D128" s="619" t="s">
        <v>104</v>
      </c>
      <c r="E128" s="482" t="str">
        <f>E124&amp;".3"</f>
        <v>7.3</v>
      </c>
      <c r="F128" s="476" t="s">
        <v>617</v>
      </c>
      <c r="G128" s="2026" t="s">
        <v>573</v>
      </c>
      <c r="H128" s="686"/>
      <c r="I128" s="686"/>
      <c r="J128" s="686">
        <v>0.06</v>
      </c>
      <c r="K128" s="686"/>
      <c r="L128" s="686"/>
      <c r="M128" s="686"/>
      <c r="N128" s="686"/>
      <c r="O128" s="1448" t="s">
        <v>574</v>
      </c>
      <c r="P128" s="2326"/>
      <c r="Q128" s="2328">
        <f t="shared" si="13"/>
        <v>0.06</v>
      </c>
      <c r="R128" s="2326"/>
      <c r="S128" s="2326"/>
      <c r="T128" s="2326"/>
      <c r="U128" s="2327"/>
      <c r="V128" s="2327"/>
      <c r="W128" s="2327"/>
      <c r="X128" s="2327"/>
      <c r="Y128" s="1289"/>
      <c r="Z128" s="671"/>
      <c r="AA128" s="1289"/>
      <c r="AB128" s="1289"/>
      <c r="AC128" s="1289"/>
      <c r="AD128" s="1289"/>
      <c r="AE128" s="1289"/>
      <c r="AF128" s="1555"/>
      <c r="AG128" s="1555"/>
      <c r="AH128" s="1555"/>
      <c r="AI128" s="1555"/>
      <c r="AJ128" s="1555"/>
      <c r="AK128" s="1558">
        <v>0</v>
      </c>
    </row>
    <row r="129" spans="1:37" s="1767" customFormat="1" ht="18.75" customHeight="1">
      <c r="A129" s="2596"/>
      <c r="B129" s="1289"/>
      <c r="C129" s="1565"/>
      <c r="D129" s="619" t="s">
        <v>104</v>
      </c>
      <c r="E129" s="482" t="str">
        <f>E124&amp;".4"</f>
        <v>7.4</v>
      </c>
      <c r="F129" s="476" t="s">
        <v>618</v>
      </c>
      <c r="G129" s="2026" t="s">
        <v>573</v>
      </c>
      <c r="H129" s="686"/>
      <c r="I129" s="686"/>
      <c r="J129" s="686">
        <v>25.8</v>
      </c>
      <c r="K129" s="686"/>
      <c r="L129" s="686"/>
      <c r="M129" s="686"/>
      <c r="N129" s="686"/>
      <c r="O129" s="1448" t="s">
        <v>574</v>
      </c>
      <c r="P129" s="2326"/>
      <c r="Q129" s="2328">
        <f t="shared" si="13"/>
        <v>25.8</v>
      </c>
      <c r="R129" s="2326"/>
      <c r="S129" s="2326"/>
      <c r="T129" s="2326"/>
      <c r="U129" s="2327"/>
      <c r="V129" s="2327"/>
      <c r="W129" s="2327"/>
      <c r="X129" s="2327"/>
      <c r="Y129" s="1289"/>
      <c r="Z129" s="671"/>
      <c r="AA129" s="1289"/>
      <c r="AB129" s="1289"/>
      <c r="AC129" s="1289"/>
      <c r="AD129" s="1289"/>
      <c r="AE129" s="1289"/>
      <c r="AF129" s="1555"/>
      <c r="AG129" s="1555"/>
      <c r="AH129" s="1555"/>
      <c r="AI129" s="1555"/>
      <c r="AJ129" s="1555"/>
      <c r="AK129" s="1558">
        <v>0</v>
      </c>
    </row>
    <row r="130" spans="1:37" s="1767" customFormat="1" ht="18.75" customHeight="1">
      <c r="A130" s="2596"/>
      <c r="B130" s="1289"/>
      <c r="C130" s="1565"/>
      <c r="D130" s="619" t="s">
        <v>104</v>
      </c>
      <c r="E130" s="482" t="str">
        <f>E124&amp;".5"</f>
        <v>7.5</v>
      </c>
      <c r="F130" s="476" t="s">
        <v>619</v>
      </c>
      <c r="G130" s="2026" t="s">
        <v>573</v>
      </c>
      <c r="H130" s="686"/>
      <c r="I130" s="686"/>
      <c r="J130" s="686"/>
      <c r="K130" s="686"/>
      <c r="L130" s="686"/>
      <c r="M130" s="686"/>
      <c r="N130" s="686">
        <v>578</v>
      </c>
      <c r="O130" s="1448" t="s">
        <v>574</v>
      </c>
      <c r="P130" s="2326"/>
      <c r="Q130" s="2328">
        <f t="shared" si="13"/>
        <v>578</v>
      </c>
      <c r="R130" s="2326"/>
      <c r="S130" s="2326"/>
      <c r="T130" s="2326"/>
      <c r="U130" s="2327"/>
      <c r="V130" s="2327"/>
      <c r="W130" s="2327"/>
      <c r="X130" s="2327"/>
      <c r="Y130" s="1289"/>
      <c r="Z130" s="671"/>
      <c r="AA130" s="1289"/>
      <c r="AB130" s="1289"/>
      <c r="AC130" s="1289"/>
      <c r="AD130" s="1289"/>
      <c r="AE130" s="1289"/>
      <c r="AF130" s="1555"/>
      <c r="AG130" s="1555"/>
      <c r="AH130" s="1555"/>
      <c r="AI130" s="1555"/>
      <c r="AJ130" s="1555"/>
      <c r="AK130" s="1558">
        <v>0</v>
      </c>
    </row>
    <row r="131" spans="1:37" s="1767" customFormat="1" ht="18.75" customHeight="1">
      <c r="A131" s="2596"/>
      <c r="B131" s="1289"/>
      <c r="C131" s="1565"/>
      <c r="D131" s="619" t="s">
        <v>104</v>
      </c>
      <c r="E131" s="482" t="str">
        <f>E124&amp;".6"</f>
        <v>7.6</v>
      </c>
      <c r="F131" s="476" t="s">
        <v>620</v>
      </c>
      <c r="G131" s="2026" t="s">
        <v>573</v>
      </c>
      <c r="H131" s="686"/>
      <c r="I131" s="686"/>
      <c r="J131" s="686"/>
      <c r="K131" s="686"/>
      <c r="L131" s="686"/>
      <c r="M131" s="686"/>
      <c r="N131" s="686">
        <v>1105</v>
      </c>
      <c r="O131" s="1448" t="s">
        <v>574</v>
      </c>
      <c r="P131" s="2326"/>
      <c r="Q131" s="2328">
        <f t="shared" si="13"/>
        <v>1105</v>
      </c>
      <c r="R131" s="2326"/>
      <c r="S131" s="2326"/>
      <c r="T131" s="2326"/>
      <c r="U131" s="2327"/>
      <c r="V131" s="2327"/>
      <c r="W131" s="2327"/>
      <c r="X131" s="2327"/>
      <c r="Y131" s="1289"/>
      <c r="Z131" s="671"/>
      <c r="AA131" s="1289"/>
      <c r="AB131" s="1289"/>
      <c r="AC131" s="1289"/>
      <c r="AD131" s="1289"/>
      <c r="AE131" s="1289"/>
      <c r="AF131" s="1555"/>
      <c r="AG131" s="1555"/>
      <c r="AH131" s="1555"/>
      <c r="AI131" s="1555"/>
      <c r="AJ131" s="1555"/>
      <c r="AK131" s="1558">
        <v>0</v>
      </c>
    </row>
    <row r="132" spans="1:37" ht="15" customHeight="1">
      <c r="A132" s="2595"/>
      <c r="D132" s="1556"/>
      <c r="E132" s="898"/>
      <c r="F132" s="899" t="s">
        <v>621</v>
      </c>
      <c r="G132" s="508"/>
      <c r="H132" s="509"/>
      <c r="I132" s="509"/>
      <c r="J132" s="2069"/>
      <c r="K132" s="2070"/>
      <c r="L132" s="2071"/>
      <c r="M132" s="2072"/>
      <c r="N132" s="2073"/>
      <c r="O132" s="931" t="s">
        <v>622</v>
      </c>
      <c r="Q132" s="2328">
        <f t="shared" si="13"/>
        <v>0</v>
      </c>
      <c r="AK132" s="1554">
        <v>0</v>
      </c>
    </row>
    <row r="133" spans="1:37" s="1289" customFormat="1" ht="18.75" customHeight="1">
      <c r="A133" s="2595"/>
      <c r="C133" s="1559"/>
      <c r="D133" s="1561"/>
      <c r="E133" s="482" t="str">
        <f>FHD_NUM_P_62</f>
        <v>8</v>
      </c>
      <c r="F133" s="1797" t="str">
        <f>FHD_P_62</f>
        <v>Тепловая нагрузка по договорам, заключенным в рамках осуществления регулируемых видов деятельности</v>
      </c>
      <c r="G133" s="1794" t="s">
        <v>573</v>
      </c>
      <c r="H133" s="493"/>
      <c r="I133" s="493">
        <v>0</v>
      </c>
      <c r="J133" s="493">
        <v>0</v>
      </c>
      <c r="K133" s="493">
        <v>1565.8068069999999</v>
      </c>
      <c r="L133" s="493">
        <v>0</v>
      </c>
      <c r="M133" s="493">
        <v>1485.8148329999999</v>
      </c>
      <c r="N133" s="493">
        <v>0</v>
      </c>
      <c r="O133" s="226" t="str">
        <f>FHD_NOTE_P_62</f>
        <v>Регулируемыми организациями указывается информация по договорам, заключенным в рамках осуществления регулируемых видов деятельности</v>
      </c>
      <c r="P133" s="2326"/>
      <c r="Q133" s="2328">
        <f t="shared" ref="Q133:Q173" si="22">I133+J133+K133+M133+N133</f>
        <v>3051.6216399999998</v>
      </c>
      <c r="R133" s="2326"/>
      <c r="S133" s="2326"/>
      <c r="T133" s="2326"/>
      <c r="U133" s="2327"/>
      <c r="V133" s="2327"/>
      <c r="W133" s="2327"/>
      <c r="X133" s="2327"/>
      <c r="Z133" s="480"/>
      <c r="AF133" s="1555"/>
      <c r="AG133" s="1555"/>
      <c r="AH133" s="1555"/>
      <c r="AI133" s="1555"/>
      <c r="AJ133" s="1555"/>
      <c r="AK133" s="1083">
        <v>0</v>
      </c>
    </row>
    <row r="134" spans="1:37" s="1289" customFormat="1" ht="45.75" customHeight="1">
      <c r="A134" s="2595"/>
      <c r="C134" s="1559"/>
      <c r="D134" s="1561"/>
      <c r="E134" s="482" t="str">
        <f>FHD_NUM_P_63</f>
        <v>9</v>
      </c>
      <c r="F134" s="1797" t="str">
        <f>FHD_P_63</f>
        <v>Объем вырабатываемой регулируемой организацией тепловой энергии в рамках осуществления регулируемых видов деятельности</v>
      </c>
      <c r="G134" s="1794" t="s">
        <v>612</v>
      </c>
      <c r="H134" s="513"/>
      <c r="I134" s="513">
        <v>2602.2700060000002</v>
      </c>
      <c r="J134" s="513">
        <v>14.179747000000001</v>
      </c>
      <c r="K134" s="513">
        <v>0</v>
      </c>
      <c r="L134" s="513">
        <f>7328331.280938/1000</f>
        <v>7328.3312809380004</v>
      </c>
      <c r="M134" s="513">
        <v>0</v>
      </c>
      <c r="N134" s="513">
        <v>2791.8960000000002</v>
      </c>
      <c r="O134" s="22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P134" s="2326"/>
      <c r="Q134" s="2328">
        <f t="shared" si="22"/>
        <v>5408.3457530000005</v>
      </c>
      <c r="R134" s="2326"/>
      <c r="S134" s="2326"/>
      <c r="T134" s="2326"/>
      <c r="U134" s="2327"/>
      <c r="V134" s="2327"/>
      <c r="W134" s="2327"/>
      <c r="X134" s="2327"/>
      <c r="Z134" s="480"/>
      <c r="AF134" s="1555"/>
      <c r="AG134" s="1555"/>
      <c r="AH134" s="1555"/>
      <c r="AI134" s="1555"/>
      <c r="AJ134" s="1555"/>
      <c r="AK134" s="1083">
        <v>0</v>
      </c>
    </row>
    <row r="135" spans="1:37" s="1289" customFormat="1" ht="54.75" customHeight="1">
      <c r="A135" s="2595"/>
      <c r="C135" s="1559"/>
      <c r="D135" s="1561"/>
      <c r="E135" s="482" t="str">
        <f>FHD_NUM_P_64</f>
        <v>9.1</v>
      </c>
      <c r="F135" s="1797" t="str">
        <f>FHD_P_64</f>
        <v>Объем приобретаемой регулируемой организацией тепловой энергии в рамках осуществления регулируемых видов деятельности</v>
      </c>
      <c r="G135" s="1794" t="s">
        <v>612</v>
      </c>
      <c r="H135" s="1330"/>
      <c r="I135" s="686"/>
      <c r="J135" s="1330"/>
      <c r="K135" s="1330">
        <v>349.09</v>
      </c>
      <c r="L135" s="1330"/>
      <c r="M135" s="1330"/>
      <c r="N135" s="1330"/>
      <c r="O135" s="226" t="str">
        <f>FHD_NOTE_P_64</f>
        <v>Информация указывается только едиными теплоснабжающими организациями.</v>
      </c>
      <c r="P135" s="2326"/>
      <c r="Q135" s="2328">
        <f t="shared" si="22"/>
        <v>349.09</v>
      </c>
      <c r="R135" s="2326"/>
      <c r="S135" s="2326"/>
      <c r="T135" s="2326"/>
      <c r="U135" s="2327"/>
      <c r="V135" s="2327"/>
      <c r="W135" s="2327"/>
      <c r="X135" s="2327"/>
      <c r="Z135" s="480"/>
      <c r="AF135" s="1555"/>
      <c r="AG135" s="1555"/>
      <c r="AH135" s="1555"/>
      <c r="AI135" s="1555"/>
      <c r="AJ135" s="1555"/>
      <c r="AK135" s="1083">
        <v>0</v>
      </c>
    </row>
    <row r="136" spans="1:37" s="1289" customFormat="1" ht="33" customHeight="1">
      <c r="A136" s="2595"/>
      <c r="C136" s="1559"/>
      <c r="D136" s="1561"/>
      <c r="E136" s="482" t="str">
        <f>FHD_NUM_P_65</f>
        <v>10</v>
      </c>
      <c r="F136" s="1797"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36" s="1794" t="s">
        <v>612</v>
      </c>
      <c r="H136" s="513"/>
      <c r="I136" s="513">
        <f>I137+I139+I140</f>
        <v>0</v>
      </c>
      <c r="J136" s="513">
        <f>J137+J139+J140</f>
        <v>0</v>
      </c>
      <c r="K136" s="513">
        <f>K137+K139+K140</f>
        <v>2506.710133</v>
      </c>
      <c r="L136" s="513">
        <f>L134</f>
        <v>7328.3312809380004</v>
      </c>
      <c r="M136" s="513">
        <f>M137+M139+M140</f>
        <v>2475.213115</v>
      </c>
      <c r="N136" s="513">
        <f>N137+N139+N140</f>
        <v>0</v>
      </c>
      <c r="O136" s="226"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P136" s="2326"/>
      <c r="Q136" s="2328">
        <f t="shared" si="22"/>
        <v>4981.9232480000001</v>
      </c>
      <c r="R136" s="2326"/>
      <c r="S136" s="2326"/>
      <c r="T136" s="2326"/>
      <c r="U136" s="2327"/>
      <c r="V136" s="2327"/>
      <c r="W136" s="2327"/>
      <c r="X136" s="2327"/>
      <c r="Z136" s="480"/>
      <c r="AF136" s="1555"/>
      <c r="AG136" s="1555"/>
      <c r="AH136" s="1555"/>
      <c r="AI136" s="1555"/>
      <c r="AJ136" s="1555"/>
      <c r="AK136" s="1083">
        <v>0</v>
      </c>
    </row>
    <row r="137" spans="1:37" s="1289" customFormat="1" ht="18.75" customHeight="1">
      <c r="A137" s="2595"/>
      <c r="C137" s="1559"/>
      <c r="D137" s="1561"/>
      <c r="E137" s="482" t="str">
        <f>FHD_NUM_P_66</f>
        <v>10.1</v>
      </c>
      <c r="F137" s="1447" t="str">
        <f>FHD_P_66</f>
        <v xml:space="preserve">По приборам учёта </v>
      </c>
      <c r="G137" s="1794" t="s">
        <v>612</v>
      </c>
      <c r="H137" s="513"/>
      <c r="I137" s="513">
        <v>0</v>
      </c>
      <c r="J137" s="513">
        <v>0</v>
      </c>
      <c r="K137" s="513">
        <v>2020.4160670000001</v>
      </c>
      <c r="L137" s="513">
        <f>L136</f>
        <v>7328.3312809380004</v>
      </c>
      <c r="M137" s="513">
        <v>2359.6872269999999</v>
      </c>
      <c r="N137" s="513">
        <v>0</v>
      </c>
      <c r="O137" s="226" t="str">
        <f>FHD_NOTE_P_66</f>
        <v/>
      </c>
      <c r="P137" s="2326"/>
      <c r="Q137" s="2328">
        <f t="shared" si="22"/>
        <v>4380.1032940000005</v>
      </c>
      <c r="R137" s="2326"/>
      <c r="S137" s="2326"/>
      <c r="T137" s="2326"/>
      <c r="U137" s="2327"/>
      <c r="V137" s="2327"/>
      <c r="W137" s="2327"/>
      <c r="X137" s="2327"/>
      <c r="Z137" s="480"/>
      <c r="AF137" s="1555"/>
      <c r="AG137" s="1555"/>
      <c r="AH137" s="1555"/>
      <c r="AI137" s="1555"/>
      <c r="AJ137" s="1555"/>
      <c r="AK137" s="1083">
        <v>0</v>
      </c>
    </row>
    <row r="138" spans="1:37" s="1289" customFormat="1" ht="18.75" customHeight="1">
      <c r="A138" s="2595"/>
      <c r="C138" s="1559"/>
      <c r="D138" s="1561"/>
      <c r="E138" s="482" t="str">
        <f>FHD_NUM_P_67</f>
        <v>10.1.1</v>
      </c>
      <c r="F138" s="1573"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38" s="1794" t="s">
        <v>612</v>
      </c>
      <c r="H138" s="513"/>
      <c r="I138" s="513">
        <v>0</v>
      </c>
      <c r="J138" s="513">
        <v>0</v>
      </c>
      <c r="K138" s="513">
        <v>0</v>
      </c>
      <c r="L138" s="513">
        <v>0</v>
      </c>
      <c r="M138" s="513">
        <v>0</v>
      </c>
      <c r="N138" s="513">
        <v>0</v>
      </c>
      <c r="O138" s="226" t="str">
        <f>FHD_NOTE_P_67</f>
        <v/>
      </c>
      <c r="P138" s="2326"/>
      <c r="Q138" s="2328">
        <f t="shared" si="22"/>
        <v>0</v>
      </c>
      <c r="R138" s="2326"/>
      <c r="S138" s="2326"/>
      <c r="T138" s="2326"/>
      <c r="U138" s="2327"/>
      <c r="V138" s="2327"/>
      <c r="W138" s="2327"/>
      <c r="X138" s="2327"/>
      <c r="Z138" s="480"/>
      <c r="AF138" s="1555"/>
      <c r="AG138" s="1555"/>
      <c r="AH138" s="1555"/>
      <c r="AI138" s="1555"/>
      <c r="AJ138" s="1555"/>
      <c r="AK138" s="1083">
        <v>0</v>
      </c>
    </row>
    <row r="139" spans="1:37" s="1289" customFormat="1" ht="18.75" customHeight="1">
      <c r="A139" s="2595"/>
      <c r="C139" s="1559"/>
      <c r="D139" s="1561"/>
      <c r="E139" s="482" t="str">
        <f>FHD_NUM_P_68</f>
        <v>10.2</v>
      </c>
      <c r="F139" s="1447" t="str">
        <f>FHD_P_68</f>
        <v>Расчётным путём</v>
      </c>
      <c r="G139" s="1794" t="s">
        <v>612</v>
      </c>
      <c r="H139" s="513"/>
      <c r="I139" s="513">
        <v>0</v>
      </c>
      <c r="J139" s="513">
        <v>0</v>
      </c>
      <c r="K139" s="513">
        <v>0</v>
      </c>
      <c r="L139" s="513">
        <v>0</v>
      </c>
      <c r="M139" s="513">
        <v>0</v>
      </c>
      <c r="N139" s="513">
        <v>0</v>
      </c>
      <c r="O139" s="226" t="str">
        <f>FHD_NOTE_P_68</f>
        <v/>
      </c>
      <c r="P139" s="2326"/>
      <c r="Q139" s="2328">
        <f t="shared" si="22"/>
        <v>0</v>
      </c>
      <c r="R139" s="2326"/>
      <c r="S139" s="2326"/>
      <c r="T139" s="2326"/>
      <c r="U139" s="2327"/>
      <c r="V139" s="2327"/>
      <c r="W139" s="2327"/>
      <c r="X139" s="2327"/>
      <c r="Z139" s="480"/>
      <c r="AF139" s="1555"/>
      <c r="AG139" s="1555"/>
      <c r="AH139" s="1555"/>
      <c r="AI139" s="1555"/>
      <c r="AJ139" s="1555"/>
      <c r="AK139" s="1083">
        <v>0</v>
      </c>
    </row>
    <row r="140" spans="1:37" s="1289" customFormat="1" ht="25.5" customHeight="1">
      <c r="A140" s="2595"/>
      <c r="C140" s="1559"/>
      <c r="D140" s="1561"/>
      <c r="E140" s="482" t="str">
        <f>FHD_NUM_P_69</f>
        <v>10.3</v>
      </c>
      <c r="F140" s="1447" t="str">
        <f>FHD_P_69</f>
        <v>По нормативам потребления коммунальных услуг и нормативам потребления коммунальных ресурсов</v>
      </c>
      <c r="G140" s="1794" t="s">
        <v>612</v>
      </c>
      <c r="H140" s="513"/>
      <c r="I140" s="513">
        <v>0</v>
      </c>
      <c r="J140" s="513">
        <v>0</v>
      </c>
      <c r="K140" s="513">
        <v>486.29406599999999</v>
      </c>
      <c r="L140" s="513">
        <v>0</v>
      </c>
      <c r="M140" s="513">
        <v>115.52588799999999</v>
      </c>
      <c r="N140" s="513">
        <v>0</v>
      </c>
      <c r="O140" s="226" t="str">
        <f>FHD_NOTE_P_69</f>
        <v/>
      </c>
      <c r="P140" s="2326"/>
      <c r="Q140" s="2328">
        <f t="shared" si="22"/>
        <v>601.81995399999994</v>
      </c>
      <c r="R140" s="2326"/>
      <c r="S140" s="2326"/>
      <c r="T140" s="2326"/>
      <c r="U140" s="2327"/>
      <c r="V140" s="2327"/>
      <c r="W140" s="2327"/>
      <c r="X140" s="2327"/>
      <c r="Z140" s="480"/>
      <c r="AF140" s="1555"/>
      <c r="AG140" s="1555"/>
      <c r="AH140" s="1555"/>
      <c r="AI140" s="1555"/>
      <c r="AJ140" s="1555"/>
      <c r="AK140" s="1083">
        <v>0</v>
      </c>
    </row>
    <row r="141" spans="1:37" s="1289" customFormat="1" ht="30.75" customHeight="1">
      <c r="A141" s="2595"/>
      <c r="C141" s="1559"/>
      <c r="D141" s="1561"/>
      <c r="E141" s="482" t="str">
        <f>FHD_NUM_P_70</f>
        <v>11</v>
      </c>
      <c r="F141" s="1797" t="str">
        <f>FHD_P_70</f>
        <v>Нормативы технологических потерь при передаче тепловой энергии, теплоносителя по тепловым сетям, утвержденные уполномоченным органом</v>
      </c>
      <c r="G141" s="1794" t="s">
        <v>623</v>
      </c>
      <c r="H141" s="493"/>
      <c r="I141" s="493">
        <v>0</v>
      </c>
      <c r="J141" s="493">
        <v>0</v>
      </c>
      <c r="K141" s="493">
        <v>423.84699999999998</v>
      </c>
      <c r="L141" s="493">
        <v>1265.8219999999999</v>
      </c>
      <c r="M141" s="493">
        <v>396.07100000000003</v>
      </c>
      <c r="N141" s="493">
        <v>0</v>
      </c>
      <c r="O141" s="226" t="str">
        <f>FHD_NOTE_P_70</f>
        <v/>
      </c>
      <c r="P141" s="2326"/>
      <c r="Q141" s="2328">
        <f t="shared" si="22"/>
        <v>819.91800000000001</v>
      </c>
      <c r="R141" s="2326"/>
      <c r="S141" s="2326"/>
      <c r="T141" s="2326"/>
      <c r="U141" s="2327"/>
      <c r="V141" s="2327"/>
      <c r="W141" s="2327"/>
      <c r="X141" s="2327"/>
      <c r="Z141" s="480"/>
      <c r="AF141" s="1555"/>
      <c r="AG141" s="1555"/>
      <c r="AH141" s="1555"/>
      <c r="AI141" s="1555"/>
      <c r="AJ141" s="1555"/>
      <c r="AK141" s="1083">
        <v>0</v>
      </c>
    </row>
    <row r="142" spans="1:37" s="1289" customFormat="1" ht="22.5" customHeight="1">
      <c r="A142" s="2595"/>
      <c r="C142" s="1559"/>
      <c r="D142" s="1561"/>
      <c r="E142" s="482" t="str">
        <f>FHD_NUM_P_71</f>
        <v>12</v>
      </c>
      <c r="F142" s="1797" t="str">
        <f>FHD_P_71</f>
        <v>Фактический объем потерь при передаче тепловой энергии</v>
      </c>
      <c r="G142" s="1794" t="s">
        <v>623</v>
      </c>
      <c r="H142" s="493"/>
      <c r="I142" s="493">
        <v>0</v>
      </c>
      <c r="J142" s="493">
        <v>2.149937</v>
      </c>
      <c r="K142" s="493">
        <v>486.70299999999997</v>
      </c>
      <c r="L142" s="493">
        <v>541.66</v>
      </c>
      <c r="M142" s="493">
        <v>369.70800000000003</v>
      </c>
      <c r="N142" s="493">
        <v>0</v>
      </c>
      <c r="O142" s="226" t="str">
        <f>FHD_NOTE_P_71</f>
        <v/>
      </c>
      <c r="P142" s="2326"/>
      <c r="Q142" s="2328">
        <f t="shared" si="22"/>
        <v>858.56093699999997</v>
      </c>
      <c r="R142" s="2326"/>
      <c r="S142" s="2326"/>
      <c r="T142" s="2326"/>
      <c r="U142" s="2327"/>
      <c r="V142" s="2327"/>
      <c r="W142" s="2327"/>
      <c r="X142" s="2327"/>
      <c r="Z142" s="480"/>
      <c r="AF142" s="1555"/>
      <c r="AG142" s="1555"/>
      <c r="AH142" s="1555"/>
      <c r="AI142" s="1555"/>
      <c r="AJ142" s="1555"/>
      <c r="AK142" s="1083">
        <v>0</v>
      </c>
    </row>
    <row r="143" spans="1:37" ht="20.25" customHeight="1">
      <c r="D143" s="1561"/>
      <c r="E143" s="482" t="str">
        <f>FHD_NUM_P_72</f>
        <v>13</v>
      </c>
      <c r="F143" s="1797" t="str">
        <f>FHD_P_72</f>
        <v>Среднесписочная численность основного производственного персонала</v>
      </c>
      <c r="G143" s="1793" t="s">
        <v>624</v>
      </c>
      <c r="H143" s="513"/>
      <c r="I143" s="513">
        <v>102.75</v>
      </c>
      <c r="J143" s="513">
        <v>15.69</v>
      </c>
      <c r="K143" s="513">
        <v>123.18</v>
      </c>
      <c r="L143" s="513">
        <v>11</v>
      </c>
      <c r="M143" s="513">
        <v>127.06552600000001</v>
      </c>
      <c r="N143" s="513">
        <v>199.73677599999999</v>
      </c>
      <c r="O143" s="226" t="str">
        <f>FHD_NOTE_P_72</f>
        <v/>
      </c>
      <c r="Q143" s="2328">
        <f t="shared" si="22"/>
        <v>568.42230199999995</v>
      </c>
      <c r="AK143" s="1554">
        <v>19</v>
      </c>
    </row>
    <row r="144" spans="1:37" ht="18.75" customHeight="1">
      <c r="A144" s="916" t="s">
        <v>625</v>
      </c>
      <c r="D144" s="1561"/>
      <c r="E144" s="482" t="str">
        <f>FHD_NUM_P_73</f>
        <v>14</v>
      </c>
      <c r="F144" s="1797" t="str">
        <f>FHD_P_73</f>
        <v>Среднесписочная численность административно-управленческого персонала</v>
      </c>
      <c r="G144" s="897" t="s">
        <v>624</v>
      </c>
      <c r="H144" s="895"/>
      <c r="I144" s="895">
        <v>93.711336000000003</v>
      </c>
      <c r="J144" s="895">
        <v>10.392580000000001</v>
      </c>
      <c r="K144" s="895">
        <v>58.880983000000001</v>
      </c>
      <c r="L144" s="895">
        <v>0</v>
      </c>
      <c r="M144" s="895">
        <v>38.683413000000002</v>
      </c>
      <c r="N144" s="895">
        <v>109.843468</v>
      </c>
      <c r="O144" s="226" t="str">
        <f>FHD_NOTE_P_73</f>
        <v/>
      </c>
      <c r="Q144" s="2328">
        <f t="shared" si="22"/>
        <v>311.51177999999999</v>
      </c>
      <c r="AK144" s="1554">
        <v>0</v>
      </c>
    </row>
    <row r="145" spans="1:37" ht="33.75" hidden="1" customHeight="1">
      <c r="A145" s="916" t="s">
        <v>626</v>
      </c>
      <c r="D145" s="1561"/>
      <c r="E145" s="482" t="str">
        <f>FHD_NUM_P_74</f>
        <v/>
      </c>
      <c r="F145" s="1797" t="str">
        <f>FHD_P_74</f>
        <v/>
      </c>
      <c r="G145" s="1793" t="s">
        <v>627</v>
      </c>
      <c r="H145" s="513"/>
      <c r="I145" s="513">
        <v>132.619</v>
      </c>
      <c r="J145" s="513">
        <v>204.32300000000001</v>
      </c>
      <c r="K145" s="513">
        <v>0</v>
      </c>
      <c r="L145" s="513">
        <v>0</v>
      </c>
      <c r="M145" s="513"/>
      <c r="N145" s="513">
        <v>137.75399999999999</v>
      </c>
      <c r="O145" s="226" t="str">
        <f>FHD_NOTE_P_74</f>
        <v/>
      </c>
      <c r="Q145" s="2328">
        <f t="shared" si="22"/>
        <v>474.69600000000003</v>
      </c>
      <c r="AK145" s="1554">
        <v>0</v>
      </c>
    </row>
    <row r="146" spans="1:37" s="1558" customFormat="1" ht="18.75" hidden="1" customHeight="1">
      <c r="A146" s="2595" t="s">
        <v>628</v>
      </c>
      <c r="B146" s="838"/>
      <c r="C146" s="670"/>
      <c r="D146" s="669"/>
      <c r="E146" s="482" t="str">
        <f>FHD_NUM_P_75</f>
        <v/>
      </c>
      <c r="F146" s="1797" t="str">
        <f>FHD_P_75</f>
        <v/>
      </c>
      <c r="G146" s="1793" t="s">
        <v>575</v>
      </c>
      <c r="H146" s="493"/>
      <c r="I146" s="493"/>
      <c r="J146" s="493"/>
      <c r="K146" s="493"/>
      <c r="L146" s="493"/>
      <c r="M146" s="493"/>
      <c r="N146" s="493"/>
      <c r="O146" s="226" t="str">
        <f>FHD_NOTE_P_75</f>
        <v/>
      </c>
      <c r="P146" s="2326"/>
      <c r="Q146" s="2328">
        <f t="shared" si="22"/>
        <v>0</v>
      </c>
      <c r="R146" s="2326"/>
      <c r="S146" s="2326"/>
      <c r="T146" s="2326"/>
      <c r="U146" s="2327"/>
      <c r="V146" s="2327"/>
      <c r="W146" s="2327"/>
      <c r="X146" s="2327"/>
      <c r="Y146" s="838"/>
      <c r="Z146" s="671"/>
      <c r="AA146" s="838"/>
      <c r="AB146" s="838"/>
      <c r="AC146" s="838"/>
      <c r="AD146" s="838"/>
      <c r="AE146" s="838"/>
      <c r="AF146" s="672"/>
      <c r="AG146" s="672"/>
      <c r="AH146" s="672"/>
      <c r="AI146" s="672"/>
      <c r="AJ146" s="672"/>
      <c r="AK146" s="674">
        <v>0</v>
      </c>
    </row>
    <row r="147" spans="1:37" s="1558" customFormat="1" ht="18.75" hidden="1" customHeight="1">
      <c r="A147" s="2595"/>
      <c r="B147" s="838"/>
      <c r="C147" s="670"/>
      <c r="D147" s="669"/>
      <c r="E147" s="482" t="str">
        <f>FHD_NUM_P_76</f>
        <v/>
      </c>
      <c r="F147" s="1797" t="str">
        <f>FHD_P_76</f>
        <v/>
      </c>
      <c r="G147" s="1793" t="s">
        <v>575</v>
      </c>
      <c r="H147" s="493"/>
      <c r="I147" s="493"/>
      <c r="J147" s="493"/>
      <c r="K147" s="493"/>
      <c r="L147" s="493"/>
      <c r="M147" s="493"/>
      <c r="N147" s="493"/>
      <c r="O147" s="226" t="str">
        <f>FHD_NOTE_P_76</f>
        <v/>
      </c>
      <c r="P147" s="2326"/>
      <c r="Q147" s="2328">
        <f t="shared" si="22"/>
        <v>0</v>
      </c>
      <c r="R147" s="2326"/>
      <c r="S147" s="2326"/>
      <c r="T147" s="2326"/>
      <c r="U147" s="2327"/>
      <c r="V147" s="2327"/>
      <c r="W147" s="2327"/>
      <c r="X147" s="2327"/>
      <c r="Y147" s="838"/>
      <c r="Z147" s="671"/>
      <c r="AA147" s="838"/>
      <c r="AB147" s="838"/>
      <c r="AC147" s="838"/>
      <c r="AD147" s="838"/>
      <c r="AE147" s="838"/>
      <c r="AF147" s="672"/>
      <c r="AG147" s="672"/>
      <c r="AH147" s="672"/>
      <c r="AI147" s="672"/>
      <c r="AJ147" s="672"/>
      <c r="AK147" s="674">
        <v>0</v>
      </c>
    </row>
    <row r="148" spans="1:37" s="1558" customFormat="1" ht="18.75" hidden="1" customHeight="1">
      <c r="A148" s="2595"/>
      <c r="B148" s="838"/>
      <c r="C148" s="670"/>
      <c r="D148" s="669"/>
      <c r="E148" s="482" t="str">
        <f>FHD_NUM_P_77</f>
        <v/>
      </c>
      <c r="F148" s="1797" t="str">
        <f>FHD_P_77</f>
        <v/>
      </c>
      <c r="G148" s="1793" t="s">
        <v>575</v>
      </c>
      <c r="H148" s="493"/>
      <c r="I148" s="493"/>
      <c r="J148" s="493"/>
      <c r="K148" s="493"/>
      <c r="L148" s="493"/>
      <c r="M148" s="493"/>
      <c r="N148" s="493"/>
      <c r="O148" s="226" t="str">
        <f>FHD_NOTE_P_77</f>
        <v/>
      </c>
      <c r="P148" s="2326"/>
      <c r="Q148" s="2328">
        <f t="shared" si="22"/>
        <v>0</v>
      </c>
      <c r="R148" s="2326"/>
      <c r="S148" s="2326"/>
      <c r="T148" s="2326"/>
      <c r="U148" s="2327"/>
      <c r="V148" s="2327"/>
      <c r="W148" s="2327"/>
      <c r="X148" s="2327"/>
      <c r="Y148" s="838"/>
      <c r="Z148" s="671"/>
      <c r="AA148" s="838"/>
      <c r="AB148" s="838"/>
      <c r="AC148" s="838"/>
      <c r="AD148" s="838"/>
      <c r="AE148" s="838"/>
      <c r="AF148" s="672"/>
      <c r="AG148" s="672"/>
      <c r="AH148" s="672"/>
      <c r="AI148" s="672"/>
      <c r="AJ148" s="672"/>
      <c r="AK148" s="674">
        <v>0</v>
      </c>
    </row>
    <row r="149" spans="1:37" s="1565" customFormat="1" ht="0.75" hidden="1" customHeight="1">
      <c r="A149" s="2595"/>
      <c r="D149" s="484"/>
      <c r="E149" s="940" t="str">
        <f>E148&amp;".0"</f>
        <v>.0</v>
      </c>
      <c r="F149" s="924"/>
      <c r="G149" s="1574"/>
      <c r="H149" s="919"/>
      <c r="I149" s="919"/>
      <c r="J149" s="919"/>
      <c r="K149" s="919"/>
      <c r="L149" s="919"/>
      <c r="M149" s="919"/>
      <c r="N149" s="919"/>
      <c r="O149" s="923"/>
      <c r="P149" s="2326"/>
      <c r="Q149" s="2328">
        <f t="shared" si="22"/>
        <v>0</v>
      </c>
      <c r="R149" s="2326"/>
      <c r="S149" s="2326"/>
      <c r="T149" s="2326"/>
      <c r="U149" s="2327"/>
      <c r="V149" s="2327"/>
      <c r="W149" s="2327"/>
      <c r="X149" s="2327"/>
      <c r="AK149" s="1559">
        <v>0</v>
      </c>
    </row>
    <row r="150" spans="1:37" s="1558" customFormat="1" ht="15" hidden="1" customHeight="1">
      <c r="A150" s="2595"/>
      <c r="B150" s="838"/>
      <c r="C150" s="670"/>
      <c r="D150" s="681"/>
      <c r="E150" s="900"/>
      <c r="F150" s="901" t="s">
        <v>629</v>
      </c>
      <c r="G150" s="682"/>
      <c r="H150" s="683"/>
      <c r="I150" s="683"/>
      <c r="J150" s="2074"/>
      <c r="K150" s="2075"/>
      <c r="L150" s="2076"/>
      <c r="M150" s="2077"/>
      <c r="N150" s="2078"/>
      <c r="O150" s="930" t="s">
        <v>630</v>
      </c>
      <c r="P150" s="2326"/>
      <c r="Q150" s="2328">
        <f t="shared" si="22"/>
        <v>0</v>
      </c>
      <c r="R150" s="2326"/>
      <c r="S150" s="2326"/>
      <c r="T150" s="2326"/>
      <c r="U150" s="2327"/>
      <c r="V150" s="2327"/>
      <c r="W150" s="2327"/>
      <c r="X150" s="2327"/>
      <c r="Y150" s="838"/>
      <c r="Z150" s="671"/>
      <c r="AA150" s="838"/>
      <c r="AB150" s="838"/>
      <c r="AC150" s="838"/>
      <c r="AD150" s="838"/>
      <c r="AE150" s="838"/>
      <c r="AF150" s="672"/>
      <c r="AG150" s="672"/>
      <c r="AH150" s="672"/>
      <c r="AI150" s="672"/>
      <c r="AJ150" s="672"/>
      <c r="AK150" s="674">
        <v>0</v>
      </c>
    </row>
    <row r="151" spans="1:37" ht="68.25" customHeight="1">
      <c r="A151" s="2595" t="s">
        <v>631</v>
      </c>
      <c r="D151" s="1561"/>
      <c r="E151" s="482" t="str">
        <f>FHD_NUM_P_78</f>
        <v>15</v>
      </c>
      <c r="F151" s="1797"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51" s="1794" t="s">
        <v>577</v>
      </c>
      <c r="H151" s="513"/>
      <c r="I151" s="513">
        <f>I153</f>
        <v>131.39400000000001</v>
      </c>
      <c r="J151" s="513">
        <v>185.84108499999999</v>
      </c>
      <c r="K151" s="513">
        <v>0</v>
      </c>
      <c r="L151" s="513">
        <v>0</v>
      </c>
      <c r="M151" s="513">
        <v>0</v>
      </c>
      <c r="N151" s="513">
        <v>142.05124499999999</v>
      </c>
      <c r="O151" s="226" t="str">
        <f>FHD_NOTE_P_78</f>
        <v/>
      </c>
      <c r="Q151" s="2328">
        <f t="shared" si="22"/>
        <v>459.28633000000002</v>
      </c>
      <c r="AK151" s="1554">
        <v>0</v>
      </c>
    </row>
    <row r="152" spans="1:37" s="1565" customFormat="1" ht="3" customHeight="1">
      <c r="A152" s="2595"/>
      <c r="D152" s="484"/>
      <c r="E152" s="940" t="str">
        <f>E151&amp;".0"</f>
        <v>15.0</v>
      </c>
      <c r="F152" s="924"/>
      <c r="G152" s="1574"/>
      <c r="H152" s="919"/>
      <c r="I152" s="919"/>
      <c r="J152" s="919"/>
      <c r="K152" s="919"/>
      <c r="L152" s="919"/>
      <c r="M152" s="919"/>
      <c r="N152" s="919"/>
      <c r="O152" s="923"/>
      <c r="P152" s="2326"/>
      <c r="Q152" s="2328">
        <f t="shared" si="22"/>
        <v>0</v>
      </c>
      <c r="R152" s="2326"/>
      <c r="S152" s="2326"/>
      <c r="T152" s="2326"/>
      <c r="U152" s="2327"/>
      <c r="V152" s="2327"/>
      <c r="W152" s="2327"/>
      <c r="X152" s="2327"/>
      <c r="AK152" s="1559">
        <v>0</v>
      </c>
    </row>
    <row r="153" spans="1:37" s="1767" customFormat="1" ht="22.5" customHeight="1">
      <c r="A153" s="2596"/>
      <c r="B153" s="1289"/>
      <c r="C153" s="1565"/>
      <c r="D153" s="619" t="s">
        <v>104</v>
      </c>
      <c r="E153" s="482" t="str">
        <f>E151&amp;".1"</f>
        <v>15.1</v>
      </c>
      <c r="F153" s="476" t="s">
        <v>615</v>
      </c>
      <c r="G153" s="2026" t="s">
        <v>577</v>
      </c>
      <c r="H153" s="481"/>
      <c r="I153" s="481">
        <v>131.39400000000001</v>
      </c>
      <c r="J153" s="481"/>
      <c r="K153" s="481"/>
      <c r="L153" s="481"/>
      <c r="M153" s="481"/>
      <c r="N153" s="481">
        <v>0</v>
      </c>
      <c r="O153" s="1448" t="s">
        <v>578</v>
      </c>
      <c r="P153" s="2326"/>
      <c r="Q153" s="2328">
        <f t="shared" si="22"/>
        <v>131.39400000000001</v>
      </c>
      <c r="R153" s="2326"/>
      <c r="S153" s="2326"/>
      <c r="T153" s="2326"/>
      <c r="U153" s="2327"/>
      <c r="V153" s="2327"/>
      <c r="W153" s="2327"/>
      <c r="X153" s="2327"/>
      <c r="Y153" s="1289"/>
      <c r="Z153" s="671"/>
      <c r="AA153" s="1289"/>
      <c r="AB153" s="1289"/>
      <c r="AC153" s="1289"/>
      <c r="AD153" s="1289"/>
      <c r="AE153" s="1289"/>
      <c r="AF153" s="1555"/>
      <c r="AG153" s="1555"/>
      <c r="AH153" s="1555"/>
      <c r="AI153" s="1555"/>
      <c r="AJ153" s="1555"/>
      <c r="AK153" s="1558">
        <v>0</v>
      </c>
    </row>
    <row r="154" spans="1:37" s="1767" customFormat="1" ht="22.5" customHeight="1">
      <c r="A154" s="2596"/>
      <c r="B154" s="1289"/>
      <c r="C154" s="1565"/>
      <c r="D154" s="619" t="s">
        <v>104</v>
      </c>
      <c r="E154" s="482" t="str">
        <f>E151&amp;".2"</f>
        <v>15.2</v>
      </c>
      <c r="F154" s="476" t="s">
        <v>616</v>
      </c>
      <c r="G154" s="2026" t="s">
        <v>577</v>
      </c>
      <c r="H154" s="481"/>
      <c r="I154" s="481"/>
      <c r="J154" s="481">
        <v>263.18082700000002</v>
      </c>
      <c r="K154" s="481"/>
      <c r="L154" s="481"/>
      <c r="M154" s="481"/>
      <c r="N154" s="481">
        <v>0</v>
      </c>
      <c r="O154" s="1448" t="s">
        <v>578</v>
      </c>
      <c r="P154" s="2326"/>
      <c r="Q154" s="2328">
        <f t="shared" si="22"/>
        <v>263.18082700000002</v>
      </c>
      <c r="R154" s="2326"/>
      <c r="S154" s="2326"/>
      <c r="T154" s="2326"/>
      <c r="U154" s="2327"/>
      <c r="V154" s="2327"/>
      <c r="W154" s="2327"/>
      <c r="X154" s="2327"/>
      <c r="Y154" s="1289"/>
      <c r="Z154" s="671"/>
      <c r="AA154" s="1289"/>
      <c r="AB154" s="1289"/>
      <c r="AC154" s="1289"/>
      <c r="AD154" s="1289"/>
      <c r="AE154" s="1289"/>
      <c r="AF154" s="1555"/>
      <c r="AG154" s="1555"/>
      <c r="AH154" s="1555"/>
      <c r="AI154" s="1555"/>
      <c r="AJ154" s="1555"/>
      <c r="AK154" s="1558">
        <v>0</v>
      </c>
    </row>
    <row r="155" spans="1:37" s="1767" customFormat="1" ht="22.5" customHeight="1">
      <c r="A155" s="2596"/>
      <c r="B155" s="1289"/>
      <c r="C155" s="1565"/>
      <c r="D155" s="619" t="s">
        <v>104</v>
      </c>
      <c r="E155" s="482" t="str">
        <f>E151&amp;".3"</f>
        <v>15.3</v>
      </c>
      <c r="F155" s="476" t="s">
        <v>617</v>
      </c>
      <c r="G155" s="2026" t="s">
        <v>577</v>
      </c>
      <c r="H155" s="481"/>
      <c r="I155" s="481"/>
      <c r="J155" s="481">
        <v>128.61575199999999</v>
      </c>
      <c r="K155" s="481"/>
      <c r="L155" s="481"/>
      <c r="M155" s="481"/>
      <c r="N155" s="481">
        <v>0</v>
      </c>
      <c r="O155" s="1448" t="s">
        <v>578</v>
      </c>
      <c r="P155" s="2326"/>
      <c r="Q155" s="2328">
        <f t="shared" si="22"/>
        <v>128.61575199999999</v>
      </c>
      <c r="R155" s="2326"/>
      <c r="S155" s="2326"/>
      <c r="T155" s="2326"/>
      <c r="U155" s="2327"/>
      <c r="V155" s="2327"/>
      <c r="W155" s="2327"/>
      <c r="X155" s="2327"/>
      <c r="Y155" s="1289"/>
      <c r="Z155" s="671"/>
      <c r="AA155" s="1289"/>
      <c r="AB155" s="1289"/>
      <c r="AC155" s="1289"/>
      <c r="AD155" s="1289"/>
      <c r="AE155" s="1289"/>
      <c r="AF155" s="1555"/>
      <c r="AG155" s="1555"/>
      <c r="AH155" s="1555"/>
      <c r="AI155" s="1555"/>
      <c r="AJ155" s="1555"/>
      <c r="AK155" s="1558">
        <v>0</v>
      </c>
    </row>
    <row r="156" spans="1:37" s="1767" customFormat="1" ht="22.5" customHeight="1">
      <c r="A156" s="2596"/>
      <c r="B156" s="1289"/>
      <c r="C156" s="1565"/>
      <c r="D156" s="619" t="s">
        <v>104</v>
      </c>
      <c r="E156" s="482" t="str">
        <f>E151&amp;".4"</f>
        <v>15.4</v>
      </c>
      <c r="F156" s="476" t="s">
        <v>618</v>
      </c>
      <c r="G156" s="2026" t="s">
        <v>577</v>
      </c>
      <c r="H156" s="481"/>
      <c r="I156" s="481"/>
      <c r="J156" s="481">
        <v>150.82015699999999</v>
      </c>
      <c r="K156" s="481"/>
      <c r="L156" s="481"/>
      <c r="M156" s="481"/>
      <c r="N156" s="481">
        <v>0</v>
      </c>
      <c r="O156" s="1448" t="s">
        <v>578</v>
      </c>
      <c r="P156" s="2326"/>
      <c r="Q156" s="2328">
        <f t="shared" si="22"/>
        <v>150.82015699999999</v>
      </c>
      <c r="R156" s="2326"/>
      <c r="S156" s="2326"/>
      <c r="T156" s="2326"/>
      <c r="U156" s="2327"/>
      <c r="V156" s="2327"/>
      <c r="W156" s="2327"/>
      <c r="X156" s="2327"/>
      <c r="Y156" s="1289"/>
      <c r="Z156" s="671"/>
      <c r="AA156" s="1289"/>
      <c r="AB156" s="1289"/>
      <c r="AC156" s="1289"/>
      <c r="AD156" s="1289"/>
      <c r="AE156" s="1289"/>
      <c r="AF156" s="1555"/>
      <c r="AG156" s="1555"/>
      <c r="AH156" s="1555"/>
      <c r="AI156" s="1555"/>
      <c r="AJ156" s="1555"/>
      <c r="AK156" s="1558">
        <v>0</v>
      </c>
    </row>
    <row r="157" spans="1:37" s="1767" customFormat="1" ht="22.5" customHeight="1">
      <c r="A157" s="2596"/>
      <c r="B157" s="1289"/>
      <c r="C157" s="1565"/>
      <c r="D157" s="619" t="s">
        <v>104</v>
      </c>
      <c r="E157" s="482" t="str">
        <f>E151&amp;".5"</f>
        <v>15.5</v>
      </c>
      <c r="F157" s="476" t="s">
        <v>619</v>
      </c>
      <c r="G157" s="2026" t="s">
        <v>577</v>
      </c>
      <c r="H157" s="481"/>
      <c r="I157" s="481"/>
      <c r="J157" s="481"/>
      <c r="K157" s="481"/>
      <c r="L157" s="481"/>
      <c r="M157" s="481"/>
      <c r="N157" s="481">
        <v>152.44399999999999</v>
      </c>
      <c r="O157" s="1448" t="s">
        <v>578</v>
      </c>
      <c r="P157" s="2326"/>
      <c r="Q157" s="2328">
        <f t="shared" si="22"/>
        <v>152.44399999999999</v>
      </c>
      <c r="R157" s="2326"/>
      <c r="S157" s="2326"/>
      <c r="T157" s="2326"/>
      <c r="U157" s="2327"/>
      <c r="V157" s="2327"/>
      <c r="W157" s="2327"/>
      <c r="X157" s="2327"/>
      <c r="Y157" s="1289"/>
      <c r="Z157" s="671"/>
      <c r="AA157" s="1289"/>
      <c r="AB157" s="1289"/>
      <c r="AC157" s="1289"/>
      <c r="AD157" s="1289"/>
      <c r="AE157" s="1289"/>
      <c r="AF157" s="1555"/>
      <c r="AG157" s="1555"/>
      <c r="AH157" s="1555"/>
      <c r="AI157" s="1555"/>
      <c r="AJ157" s="1555"/>
      <c r="AK157" s="1558">
        <v>0</v>
      </c>
    </row>
    <row r="158" spans="1:37" s="1767" customFormat="1" ht="22.5" customHeight="1">
      <c r="A158" s="2596"/>
      <c r="B158" s="1289"/>
      <c r="C158" s="1565"/>
      <c r="D158" s="619" t="s">
        <v>104</v>
      </c>
      <c r="E158" s="482" t="str">
        <f>E151&amp;".6"</f>
        <v>15.6</v>
      </c>
      <c r="F158" s="476" t="s">
        <v>620</v>
      </c>
      <c r="G158" s="2026" t="s">
        <v>577</v>
      </c>
      <c r="H158" s="481"/>
      <c r="I158" s="481"/>
      <c r="J158" s="481"/>
      <c r="K158" s="481"/>
      <c r="L158" s="481"/>
      <c r="M158" s="481"/>
      <c r="N158" s="481">
        <v>135.167</v>
      </c>
      <c r="O158" s="1448" t="s">
        <v>578</v>
      </c>
      <c r="P158" s="2326"/>
      <c r="Q158" s="2328">
        <f t="shared" si="22"/>
        <v>135.167</v>
      </c>
      <c r="R158" s="2326"/>
      <c r="S158" s="2326"/>
      <c r="T158" s="2326"/>
      <c r="U158" s="2327"/>
      <c r="V158" s="2327"/>
      <c r="W158" s="2327"/>
      <c r="X158" s="2327"/>
      <c r="Y158" s="1289"/>
      <c r="Z158" s="671"/>
      <c r="AA158" s="1289"/>
      <c r="AB158" s="1289"/>
      <c r="AC158" s="1289"/>
      <c r="AD158" s="1289"/>
      <c r="AE158" s="1289"/>
      <c r="AF158" s="1555"/>
      <c r="AG158" s="1555"/>
      <c r="AH158" s="1555"/>
      <c r="AI158" s="1555"/>
      <c r="AJ158" s="1555"/>
      <c r="AK158" s="1558">
        <v>0</v>
      </c>
    </row>
    <row r="159" spans="1:37" ht="15" customHeight="1">
      <c r="A159" s="2595"/>
      <c r="D159" s="1556"/>
      <c r="E159" s="506"/>
      <c r="F159" s="1091" t="s">
        <v>621</v>
      </c>
      <c r="G159" s="508"/>
      <c r="H159" s="509"/>
      <c r="I159" s="509"/>
      <c r="J159" s="2079"/>
      <c r="K159" s="2080"/>
      <c r="L159" s="2081"/>
      <c r="M159" s="2082"/>
      <c r="N159" s="2083"/>
      <c r="O159" s="931" t="s">
        <v>632</v>
      </c>
      <c r="Q159" s="2328">
        <f t="shared" si="22"/>
        <v>0</v>
      </c>
      <c r="AK159" s="1554">
        <v>0</v>
      </c>
    </row>
    <row r="160" spans="1:37" ht="75" customHeight="1">
      <c r="A160" s="2595"/>
      <c r="D160" s="1561"/>
      <c r="E160" s="482" t="str">
        <f>FHD_NUM_P_79</f>
        <v>16</v>
      </c>
      <c r="F160" s="1797"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60" s="1795" t="s">
        <v>579</v>
      </c>
      <c r="H160" s="513"/>
      <c r="I160" s="513">
        <f>I162</f>
        <v>131.27388099999999</v>
      </c>
      <c r="J160" s="513">
        <v>185.84108499999999</v>
      </c>
      <c r="K160" s="513">
        <v>0</v>
      </c>
      <c r="L160" s="513">
        <v>0</v>
      </c>
      <c r="M160" s="513">
        <v>0</v>
      </c>
      <c r="N160" s="513">
        <v>142.48505700000001</v>
      </c>
      <c r="O160" s="22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Q160" s="2328">
        <f t="shared" si="22"/>
        <v>459.60002299999996</v>
      </c>
      <c r="AK160" s="1554">
        <v>0</v>
      </c>
    </row>
    <row r="161" spans="1:37" s="1565" customFormat="1" ht="0.75" customHeight="1">
      <c r="A161" s="2595"/>
      <c r="D161" s="484"/>
      <c r="E161" s="940" t="str">
        <f>E160&amp;".0"</f>
        <v>16.0</v>
      </c>
      <c r="F161" s="925"/>
      <c r="G161" s="1574"/>
      <c r="H161" s="919"/>
      <c r="I161" s="919"/>
      <c r="J161" s="919"/>
      <c r="K161" s="919"/>
      <c r="L161" s="919"/>
      <c r="M161" s="919"/>
      <c r="N161" s="919"/>
      <c r="O161" s="923"/>
      <c r="P161" s="2326"/>
      <c r="Q161" s="2328">
        <f t="shared" si="22"/>
        <v>0</v>
      </c>
      <c r="R161" s="2326"/>
      <c r="S161" s="2326"/>
      <c r="T161" s="2326"/>
      <c r="U161" s="2327"/>
      <c r="V161" s="2327"/>
      <c r="W161" s="2327"/>
      <c r="X161" s="2327"/>
      <c r="AK161" s="1559">
        <v>0</v>
      </c>
    </row>
    <row r="162" spans="1:37" s="1767" customFormat="1" ht="22.5" customHeight="1">
      <c r="A162" s="2596"/>
      <c r="B162" s="1289"/>
      <c r="C162" s="1565"/>
      <c r="D162" s="619" t="s">
        <v>104</v>
      </c>
      <c r="E162" s="482" t="str">
        <f>E160&amp;".1"</f>
        <v>16.1</v>
      </c>
      <c r="F162" s="476" t="s">
        <v>615</v>
      </c>
      <c r="G162" s="2026" t="s">
        <v>579</v>
      </c>
      <c r="H162" s="481"/>
      <c r="I162" s="481">
        <v>131.27388099999999</v>
      </c>
      <c r="J162" s="481"/>
      <c r="K162" s="481"/>
      <c r="L162" s="481"/>
      <c r="M162" s="481"/>
      <c r="N162" s="481"/>
      <c r="O162" s="1448" t="s">
        <v>580</v>
      </c>
      <c r="P162" s="2326"/>
      <c r="Q162" s="2328">
        <f t="shared" si="22"/>
        <v>131.27388099999999</v>
      </c>
      <c r="R162" s="2326"/>
      <c r="S162" s="2326"/>
      <c r="T162" s="2326"/>
      <c r="U162" s="2327"/>
      <c r="V162" s="2327"/>
      <c r="W162" s="2327"/>
      <c r="X162" s="2327"/>
      <c r="Y162" s="1289"/>
      <c r="Z162" s="671"/>
      <c r="AA162" s="1289"/>
      <c r="AB162" s="1289"/>
      <c r="AC162" s="1289"/>
      <c r="AD162" s="1289"/>
      <c r="AE162" s="1289"/>
      <c r="AF162" s="1555"/>
      <c r="AG162" s="1555"/>
      <c r="AH162" s="1555"/>
      <c r="AI162" s="1555"/>
      <c r="AJ162" s="1555"/>
      <c r="AK162" s="1558">
        <v>0</v>
      </c>
    </row>
    <row r="163" spans="1:37" s="1767" customFormat="1" ht="22.5" customHeight="1">
      <c r="A163" s="2596"/>
      <c r="B163" s="1289"/>
      <c r="C163" s="1565"/>
      <c r="D163" s="619" t="s">
        <v>104</v>
      </c>
      <c r="E163" s="482" t="str">
        <f>E160&amp;".2"</f>
        <v>16.2</v>
      </c>
      <c r="F163" s="476" t="s">
        <v>616</v>
      </c>
      <c r="G163" s="2026" t="s">
        <v>579</v>
      </c>
      <c r="H163" s="481"/>
      <c r="I163" s="481"/>
      <c r="J163" s="481">
        <v>263.18082700000002</v>
      </c>
      <c r="K163" s="481"/>
      <c r="L163" s="481"/>
      <c r="M163" s="481"/>
      <c r="N163" s="481"/>
      <c r="O163" s="1448" t="s">
        <v>580</v>
      </c>
      <c r="P163" s="2326"/>
      <c r="Q163" s="2328">
        <f t="shared" si="22"/>
        <v>263.18082700000002</v>
      </c>
      <c r="R163" s="2326"/>
      <c r="S163" s="2326"/>
      <c r="T163" s="2326"/>
      <c r="U163" s="2327"/>
      <c r="V163" s="2327"/>
      <c r="W163" s="2327"/>
      <c r="X163" s="2327"/>
      <c r="Y163" s="1289"/>
      <c r="Z163" s="671"/>
      <c r="AA163" s="1289"/>
      <c r="AB163" s="1289"/>
      <c r="AC163" s="1289"/>
      <c r="AD163" s="1289"/>
      <c r="AE163" s="1289"/>
      <c r="AF163" s="1555"/>
      <c r="AG163" s="1555"/>
      <c r="AH163" s="1555"/>
      <c r="AI163" s="1555"/>
      <c r="AJ163" s="1555"/>
      <c r="AK163" s="1558">
        <v>0</v>
      </c>
    </row>
    <row r="164" spans="1:37" s="1767" customFormat="1" ht="22.5" customHeight="1">
      <c r="A164" s="2596"/>
      <c r="B164" s="1289"/>
      <c r="C164" s="1565"/>
      <c r="D164" s="619" t="s">
        <v>104</v>
      </c>
      <c r="E164" s="482" t="str">
        <f>E160&amp;".3"</f>
        <v>16.3</v>
      </c>
      <c r="F164" s="476" t="s">
        <v>617</v>
      </c>
      <c r="G164" s="2026" t="s">
        <v>579</v>
      </c>
      <c r="H164" s="481"/>
      <c r="I164" s="481"/>
      <c r="J164" s="481">
        <v>128.61575199999999</v>
      </c>
      <c r="K164" s="481"/>
      <c r="L164" s="481"/>
      <c r="M164" s="481"/>
      <c r="N164" s="481"/>
      <c r="O164" s="1448" t="s">
        <v>580</v>
      </c>
      <c r="P164" s="2326"/>
      <c r="Q164" s="2328">
        <f t="shared" si="22"/>
        <v>128.61575199999999</v>
      </c>
      <c r="R164" s="2326"/>
      <c r="S164" s="2326"/>
      <c r="T164" s="2326"/>
      <c r="U164" s="2327"/>
      <c r="V164" s="2327"/>
      <c r="W164" s="2327"/>
      <c r="X164" s="2327"/>
      <c r="Y164" s="1289"/>
      <c r="Z164" s="671"/>
      <c r="AA164" s="1289"/>
      <c r="AB164" s="1289"/>
      <c r="AC164" s="1289"/>
      <c r="AD164" s="1289"/>
      <c r="AE164" s="1289"/>
      <c r="AF164" s="1555"/>
      <c r="AG164" s="1555"/>
      <c r="AH164" s="1555"/>
      <c r="AI164" s="1555"/>
      <c r="AJ164" s="1555"/>
      <c r="AK164" s="1558">
        <v>0</v>
      </c>
    </row>
    <row r="165" spans="1:37" s="1767" customFormat="1" ht="22.5" customHeight="1">
      <c r="A165" s="2596"/>
      <c r="B165" s="1289"/>
      <c r="C165" s="1565"/>
      <c r="D165" s="619" t="s">
        <v>104</v>
      </c>
      <c r="E165" s="482" t="str">
        <f>E160&amp;".4"</f>
        <v>16.4</v>
      </c>
      <c r="F165" s="476" t="s">
        <v>618</v>
      </c>
      <c r="G165" s="2026" t="s">
        <v>579</v>
      </c>
      <c r="H165" s="481"/>
      <c r="I165" s="481"/>
      <c r="J165" s="481">
        <v>150.82015699999999</v>
      </c>
      <c r="K165" s="481"/>
      <c r="L165" s="481"/>
      <c r="M165" s="481"/>
      <c r="N165" s="481"/>
      <c r="O165" s="1448" t="s">
        <v>580</v>
      </c>
      <c r="P165" s="2326"/>
      <c r="Q165" s="2328">
        <f t="shared" si="22"/>
        <v>150.82015699999999</v>
      </c>
      <c r="R165" s="2326"/>
      <c r="S165" s="2326"/>
      <c r="T165" s="2326"/>
      <c r="U165" s="2327"/>
      <c r="V165" s="2327"/>
      <c r="W165" s="2327"/>
      <c r="X165" s="2327"/>
      <c r="Y165" s="1289"/>
      <c r="Z165" s="671"/>
      <c r="AA165" s="1289"/>
      <c r="AB165" s="1289"/>
      <c r="AC165" s="1289"/>
      <c r="AD165" s="1289"/>
      <c r="AE165" s="1289"/>
      <c r="AF165" s="1555"/>
      <c r="AG165" s="1555"/>
      <c r="AH165" s="1555"/>
      <c r="AI165" s="1555"/>
      <c r="AJ165" s="1555"/>
      <c r="AK165" s="1558">
        <v>0</v>
      </c>
    </row>
    <row r="166" spans="1:37" s="1767" customFormat="1" ht="22.5" customHeight="1">
      <c r="A166" s="2596"/>
      <c r="B166" s="1289"/>
      <c r="C166" s="1565"/>
      <c r="D166" s="619" t="s">
        <v>104</v>
      </c>
      <c r="E166" s="482" t="str">
        <f>E160&amp;".5"</f>
        <v>16.5</v>
      </c>
      <c r="F166" s="476" t="s">
        <v>619</v>
      </c>
      <c r="G166" s="2026" t="s">
        <v>579</v>
      </c>
      <c r="H166" s="481"/>
      <c r="I166" s="481"/>
      <c r="J166" s="481"/>
      <c r="K166" s="481"/>
      <c r="L166" s="481"/>
      <c r="M166" s="481"/>
      <c r="N166" s="481">
        <v>152.24528799999999</v>
      </c>
      <c r="O166" s="1448" t="s">
        <v>580</v>
      </c>
      <c r="P166" s="2326"/>
      <c r="Q166" s="2328">
        <f t="shared" si="22"/>
        <v>152.24528799999999</v>
      </c>
      <c r="R166" s="2326"/>
      <c r="S166" s="2326"/>
      <c r="T166" s="2326"/>
      <c r="U166" s="2327"/>
      <c r="V166" s="2327"/>
      <c r="W166" s="2327"/>
      <c r="X166" s="2327"/>
      <c r="Y166" s="1289"/>
      <c r="Z166" s="671"/>
      <c r="AA166" s="1289"/>
      <c r="AB166" s="1289"/>
      <c r="AC166" s="1289"/>
      <c r="AD166" s="1289"/>
      <c r="AE166" s="1289"/>
      <c r="AF166" s="1555"/>
      <c r="AG166" s="1555"/>
      <c r="AH166" s="1555"/>
      <c r="AI166" s="1555"/>
      <c r="AJ166" s="1555"/>
      <c r="AK166" s="1558">
        <v>0</v>
      </c>
    </row>
    <row r="167" spans="1:37" s="1767" customFormat="1" ht="22.5" customHeight="1">
      <c r="A167" s="2596"/>
      <c r="B167" s="1289"/>
      <c r="C167" s="1565"/>
      <c r="D167" s="619" t="s">
        <v>104</v>
      </c>
      <c r="E167" s="482" t="str">
        <f>E160&amp;".6"</f>
        <v>16.6</v>
      </c>
      <c r="F167" s="476" t="s">
        <v>620</v>
      </c>
      <c r="G167" s="2026" t="s">
        <v>579</v>
      </c>
      <c r="H167" s="481"/>
      <c r="I167" s="481"/>
      <c r="J167" s="481"/>
      <c r="K167" s="481"/>
      <c r="L167" s="481"/>
      <c r="M167" s="481"/>
      <c r="N167" s="481">
        <v>136.01965899999999</v>
      </c>
      <c r="O167" s="1448" t="s">
        <v>580</v>
      </c>
      <c r="P167" s="2326"/>
      <c r="Q167" s="2328">
        <f t="shared" si="22"/>
        <v>136.01965899999999</v>
      </c>
      <c r="R167" s="2326"/>
      <c r="S167" s="2326"/>
      <c r="T167" s="2326"/>
      <c r="U167" s="2327"/>
      <c r="V167" s="2327"/>
      <c r="W167" s="2327"/>
      <c r="X167" s="2327"/>
      <c r="Y167" s="1289"/>
      <c r="Z167" s="671"/>
      <c r="AA167" s="1289"/>
      <c r="AB167" s="1289"/>
      <c r="AC167" s="1289"/>
      <c r="AD167" s="1289"/>
      <c r="AE167" s="1289"/>
      <c r="AF167" s="1555"/>
      <c r="AG167" s="1555"/>
      <c r="AH167" s="1555"/>
      <c r="AI167" s="1555"/>
      <c r="AJ167" s="1555"/>
      <c r="AK167" s="1558">
        <v>0</v>
      </c>
    </row>
    <row r="168" spans="1:37" ht="15" customHeight="1">
      <c r="A168" s="2595"/>
      <c r="D168" s="1556"/>
      <c r="E168" s="506"/>
      <c r="F168" s="1091" t="s">
        <v>621</v>
      </c>
      <c r="G168" s="508"/>
      <c r="H168" s="509"/>
      <c r="I168" s="509"/>
      <c r="J168" s="2084"/>
      <c r="K168" s="2085"/>
      <c r="L168" s="2086"/>
      <c r="M168" s="2087"/>
      <c r="N168" s="2088"/>
      <c r="O168" s="931" t="s">
        <v>633</v>
      </c>
      <c r="Q168" s="2328">
        <f t="shared" si="22"/>
        <v>0</v>
      </c>
      <c r="AK168" s="1554">
        <v>0</v>
      </c>
    </row>
    <row r="169" spans="1:37" ht="47.25" customHeight="1">
      <c r="A169" s="2595"/>
      <c r="D169" s="1561"/>
      <c r="E169" s="482" t="str">
        <f>FHD_NUM_P_80</f>
        <v>17</v>
      </c>
      <c r="F169" s="1797"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69" s="1795" t="s">
        <v>634</v>
      </c>
      <c r="H169" s="493"/>
      <c r="I169" s="493">
        <v>4.9000000000000002E-2</v>
      </c>
      <c r="J169" s="493">
        <v>0</v>
      </c>
      <c r="K169" s="493">
        <v>0</v>
      </c>
      <c r="L169" s="493">
        <v>0</v>
      </c>
      <c r="M169" s="493">
        <v>0</v>
      </c>
      <c r="N169" s="493">
        <v>6.4000000000000001E-2</v>
      </c>
      <c r="O169" s="226" t="str">
        <f>FHD_NOTE_P_80</f>
        <v>Регулируемыми организациями указывается информация с по договорам, заключенным в рамках осуществления регулируемой деятельности.</v>
      </c>
      <c r="Q169" s="2328">
        <f t="shared" si="22"/>
        <v>0.113</v>
      </c>
      <c r="AK169" s="1554">
        <v>0</v>
      </c>
    </row>
    <row r="170" spans="1:37" ht="60" customHeight="1">
      <c r="A170" s="2595"/>
      <c r="D170" s="1561"/>
      <c r="E170" s="482" t="str">
        <f>FHD_NUM_P_81</f>
        <v>18</v>
      </c>
      <c r="F170" s="1797"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70" s="1795" t="s">
        <v>635</v>
      </c>
      <c r="H170" s="493"/>
      <c r="I170" s="493">
        <v>18.93</v>
      </c>
      <c r="J170" s="493">
        <v>0</v>
      </c>
      <c r="K170" s="493">
        <v>0</v>
      </c>
      <c r="L170" s="493">
        <v>0</v>
      </c>
      <c r="M170" s="493">
        <v>0</v>
      </c>
      <c r="N170" s="493">
        <v>35.71</v>
      </c>
      <c r="O170" s="226" t="str">
        <f>FHD_NOTE_P_81</f>
        <v>Регулируемыми организациями указывается информация с по договорам, заключенным в рамках осуществления регулируемой деятельности.</v>
      </c>
      <c r="Q170" s="2328">
        <f t="shared" si="22"/>
        <v>54.64</v>
      </c>
      <c r="AK170" s="1554">
        <v>0</v>
      </c>
    </row>
    <row r="171" spans="1:37" ht="27.75" customHeight="1">
      <c r="A171" s="2595"/>
      <c r="C171" s="1559" t="s">
        <v>607</v>
      </c>
      <c r="D171" s="1561"/>
      <c r="E171" s="482" t="str">
        <f>FHD_NUM_P_82</f>
        <v>19</v>
      </c>
      <c r="F171" s="1797"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71" s="1795" t="s">
        <v>325</v>
      </c>
      <c r="H171" s="337"/>
      <c r="I171" s="337"/>
      <c r="J171" s="747"/>
      <c r="K171" s="747"/>
      <c r="L171" s="747"/>
      <c r="M171" s="747"/>
      <c r="N171" s="747"/>
      <c r="O171" s="226" t="str">
        <f>FHD_NOTE_P_82</f>
        <v>Указывается ссылка на документ, предварительно загруженный в хранилище файлов ФГИС ЕИАС.</v>
      </c>
      <c r="Q171" s="2328">
        <f t="shared" si="22"/>
        <v>0</v>
      </c>
      <c r="AK171" s="1554">
        <v>0</v>
      </c>
    </row>
    <row r="172" spans="1:37" ht="27" customHeight="1">
      <c r="A172" s="2595"/>
      <c r="C172" s="1559" t="s">
        <v>607</v>
      </c>
      <c r="D172" s="1561"/>
      <c r="E172" s="482" t="str">
        <f>FHD_NUM_P_83</f>
        <v>19.1</v>
      </c>
      <c r="F172" s="1447" t="str">
        <f>FHD_P_83</f>
        <v>Информация о показателях физического износа объектов теплоснабжения</v>
      </c>
      <c r="G172" s="1795" t="s">
        <v>325</v>
      </c>
      <c r="H172" s="337"/>
      <c r="I172" s="337"/>
      <c r="J172" s="747"/>
      <c r="K172" s="747"/>
      <c r="L172" s="747"/>
      <c r="M172" s="747"/>
      <c r="N172" s="747"/>
      <c r="O172" s="226" t="str">
        <f>FHD_NOTE_P_83</f>
        <v>Указывается ссылка на документ, предварительно загруженный в хранилище файлов ФГИС ЕИАС.</v>
      </c>
      <c r="Q172" s="2328">
        <f t="shared" si="22"/>
        <v>0</v>
      </c>
      <c r="AK172" s="1554">
        <v>0</v>
      </c>
    </row>
    <row r="173" spans="1:37" ht="33" customHeight="1">
      <c r="A173" s="2595"/>
      <c r="C173" s="1559" t="s">
        <v>607</v>
      </c>
      <c r="D173" s="1561"/>
      <c r="E173" s="482" t="str">
        <f>FHD_NUM_P_84</f>
        <v>19.2</v>
      </c>
      <c r="F173" s="1447" t="str">
        <f>FHD_P_84</f>
        <v>Информация о показателях энергетической эффективности объектов теплоснабжения</v>
      </c>
      <c r="G173" s="1795" t="s">
        <v>325</v>
      </c>
      <c r="H173" s="337"/>
      <c r="I173" s="337"/>
      <c r="J173" s="747"/>
      <c r="K173" s="747"/>
      <c r="L173" s="747"/>
      <c r="M173" s="747"/>
      <c r="N173" s="747"/>
      <c r="O173" s="226" t="str">
        <f>FHD_NOTE_P_84</f>
        <v>Указывается ссылка на документ, предварительно загруженный в хранилище файлов ФГИС ЕИАС.</v>
      </c>
      <c r="Q173" s="2328">
        <f t="shared" si="22"/>
        <v>0</v>
      </c>
      <c r="AK173" s="1554">
        <v>0</v>
      </c>
    </row>
    <row r="174" spans="1:37" ht="11.45" customHeight="1">
      <c r="D174" s="1561"/>
      <c r="AK174" s="1554">
        <v>11</v>
      </c>
    </row>
    <row r="175" spans="1:37" ht="13.5" customHeight="1">
      <c r="D175" s="1561"/>
      <c r="E175" s="273"/>
      <c r="F175" s="305"/>
      <c r="G175" s="305"/>
      <c r="H175" s="305"/>
      <c r="I175" s="1570"/>
      <c r="J175" s="1609"/>
      <c r="K175" s="1609"/>
      <c r="L175" s="1609"/>
      <c r="M175" s="1609"/>
      <c r="N175" s="1609"/>
      <c r="O175" s="517"/>
      <c r="AK175" s="1554">
        <v>13</v>
      </c>
    </row>
    <row r="176" spans="1:37" s="1564" customFormat="1" ht="11.45" customHeight="1">
      <c r="A176" s="914"/>
      <c r="B176" s="1559"/>
      <c r="C176" s="1559"/>
      <c r="D176" s="287"/>
      <c r="F176" s="1563"/>
      <c r="G176" s="1554"/>
      <c r="H176" s="1554"/>
      <c r="I176" s="1554"/>
      <c r="J176" s="1558"/>
      <c r="K176" s="1558"/>
      <c r="L176" s="1558"/>
      <c r="M176" s="1558"/>
      <c r="N176" s="1558"/>
      <c r="P176" s="2326"/>
      <c r="Q176" s="2326"/>
      <c r="R176" s="2326"/>
      <c r="S176" s="2326"/>
      <c r="T176" s="2326"/>
      <c r="U176" s="2327"/>
      <c r="V176" s="2327"/>
      <c r="W176" s="2327"/>
      <c r="X176" s="2327"/>
      <c r="Y176" s="1083"/>
      <c r="Z176" s="480"/>
      <c r="AA176" s="1083"/>
      <c r="AB176" s="1083"/>
      <c r="AC176" s="1083"/>
      <c r="AD176" s="1083"/>
      <c r="AE176" s="1083"/>
      <c r="AF176" s="1555"/>
      <c r="AG176" s="502"/>
      <c r="AH176" s="502"/>
      <c r="AI176" s="502"/>
      <c r="AJ176" s="502"/>
      <c r="AK176" s="1564">
        <v>11</v>
      </c>
    </row>
    <row r="177" spans="1:37" s="1564" customFormat="1" ht="11.45" customHeight="1">
      <c r="A177" s="914"/>
      <c r="B177" s="1559"/>
      <c r="C177" s="1559"/>
      <c r="D177" s="287"/>
      <c r="P177" s="2326"/>
      <c r="Q177" s="2326"/>
      <c r="R177" s="2326"/>
      <c r="S177" s="2326"/>
      <c r="T177" s="2326"/>
      <c r="U177" s="2327"/>
      <c r="V177" s="2327"/>
      <c r="W177" s="2327"/>
      <c r="X177" s="2327"/>
      <c r="Y177" s="1083"/>
      <c r="Z177" s="480"/>
      <c r="AA177" s="1083"/>
      <c r="AB177" s="1083"/>
      <c r="AC177" s="1083"/>
      <c r="AD177" s="1083"/>
      <c r="AE177" s="1083"/>
      <c r="AF177" s="1555"/>
      <c r="AG177" s="502"/>
      <c r="AH177" s="502"/>
      <c r="AI177" s="502"/>
      <c r="AJ177" s="502"/>
      <c r="AK177" s="1564">
        <v>11</v>
      </c>
    </row>
    <row r="178" spans="1:37" s="1564" customFormat="1" ht="11.45" customHeight="1">
      <c r="A178" s="914"/>
      <c r="B178" s="1559"/>
      <c r="C178" s="1559"/>
      <c r="D178" s="287"/>
      <c r="P178" s="2326"/>
      <c r="Q178" s="2326"/>
      <c r="R178" s="2326"/>
      <c r="S178" s="2326"/>
      <c r="T178" s="2326"/>
      <c r="U178" s="2327"/>
      <c r="V178" s="2327"/>
      <c r="W178" s="2327"/>
      <c r="X178" s="2327"/>
      <c r="Y178" s="1083"/>
      <c r="Z178" s="480"/>
      <c r="AA178" s="1083"/>
      <c r="AB178" s="1083"/>
      <c r="AC178" s="1083"/>
      <c r="AD178" s="1083"/>
      <c r="AE178" s="1083"/>
      <c r="AF178" s="1555"/>
      <c r="AG178" s="502"/>
      <c r="AH178" s="502"/>
      <c r="AI178" s="502"/>
      <c r="AJ178" s="502"/>
      <c r="AK178" s="1564">
        <v>11</v>
      </c>
    </row>
    <row r="179" spans="1:37" s="1564" customFormat="1" ht="11.45" customHeight="1">
      <c r="A179" s="914"/>
      <c r="B179" s="1559"/>
      <c r="C179" s="1559"/>
      <c r="D179" s="287"/>
      <c r="H179" s="502" t="str">
        <f t="shared" ref="H179:N179" si="23">IF(H30-H31&lt;&gt;H97,"WARNING","")</f>
        <v/>
      </c>
      <c r="I179" s="502" t="str">
        <f t="shared" si="23"/>
        <v/>
      </c>
      <c r="J179" s="558" t="str">
        <f t="shared" si="23"/>
        <v/>
      </c>
      <c r="K179" s="558" t="str">
        <f t="shared" si="23"/>
        <v/>
      </c>
      <c r="L179" s="558" t="str">
        <f t="shared" si="23"/>
        <v/>
      </c>
      <c r="M179" s="558" t="str">
        <f t="shared" si="23"/>
        <v/>
      </c>
      <c r="N179" s="558" t="str">
        <f t="shared" si="23"/>
        <v/>
      </c>
      <c r="P179" s="2326"/>
      <c r="Q179" s="2326"/>
      <c r="R179" s="2326"/>
      <c r="S179" s="2326"/>
      <c r="T179" s="2326"/>
      <c r="U179" s="2327"/>
      <c r="V179" s="2327"/>
      <c r="W179" s="2327"/>
      <c r="X179" s="2327"/>
      <c r="Y179" s="1083"/>
      <c r="Z179" s="480"/>
      <c r="AA179" s="1083"/>
      <c r="AB179" s="1083"/>
      <c r="AC179" s="1083"/>
      <c r="AD179" s="1083"/>
      <c r="AE179" s="1083"/>
      <c r="AF179" s="1555"/>
      <c r="AG179" s="502"/>
      <c r="AH179" s="502"/>
      <c r="AI179" s="502"/>
      <c r="AJ179" s="502"/>
      <c r="AK179" s="1564">
        <v>11</v>
      </c>
    </row>
    <row r="180" spans="1:37" s="1564" customFormat="1" ht="11.45" customHeight="1">
      <c r="A180" s="914"/>
      <c r="B180" s="1559"/>
      <c r="C180" s="1559"/>
      <c r="D180" s="287"/>
      <c r="P180" s="2326"/>
      <c r="Q180" s="2326"/>
      <c r="R180" s="2326"/>
      <c r="S180" s="2326"/>
      <c r="T180" s="2326"/>
      <c r="U180" s="2327"/>
      <c r="V180" s="2327"/>
      <c r="W180" s="2327"/>
      <c r="X180" s="2327"/>
      <c r="Y180" s="1083"/>
      <c r="Z180" s="480"/>
      <c r="AA180" s="1083"/>
      <c r="AB180" s="1083"/>
      <c r="AC180" s="1083"/>
      <c r="AD180" s="1083"/>
      <c r="AE180" s="1083"/>
      <c r="AF180" s="1555"/>
      <c r="AG180" s="502"/>
      <c r="AH180" s="502"/>
      <c r="AI180" s="502"/>
      <c r="AJ180" s="502"/>
      <c r="AK180" s="1564">
        <v>11</v>
      </c>
    </row>
    <row r="181" spans="1:37" s="1564" customFormat="1" ht="11.45" customHeight="1">
      <c r="A181" s="914"/>
      <c r="B181" s="1559"/>
      <c r="C181" s="1559"/>
      <c r="D181" s="287"/>
      <c r="P181" s="2326"/>
      <c r="Q181" s="2326"/>
      <c r="R181" s="2326"/>
      <c r="S181" s="2326"/>
      <c r="T181" s="2326"/>
      <c r="U181" s="2327"/>
      <c r="V181" s="2327"/>
      <c r="W181" s="2327"/>
      <c r="X181" s="2327"/>
      <c r="Y181" s="1083"/>
      <c r="Z181" s="480"/>
      <c r="AA181" s="1083"/>
      <c r="AB181" s="1083"/>
      <c r="AC181" s="1083"/>
      <c r="AD181" s="1083"/>
      <c r="AE181" s="1083"/>
      <c r="AF181" s="1555"/>
      <c r="AG181" s="502"/>
      <c r="AH181" s="502"/>
      <c r="AI181" s="502"/>
      <c r="AJ181" s="502"/>
      <c r="AK181" s="1564">
        <v>11</v>
      </c>
    </row>
    <row r="182" spans="1:37" s="1564" customFormat="1" ht="11.45" customHeight="1">
      <c r="A182" s="914"/>
      <c r="B182" s="1559"/>
      <c r="C182" s="1559"/>
      <c r="D182" s="287"/>
      <c r="P182" s="2326"/>
      <c r="Q182" s="2326"/>
      <c r="R182" s="2326"/>
      <c r="S182" s="2326"/>
      <c r="T182" s="2326"/>
      <c r="U182" s="2327"/>
      <c r="V182" s="2327"/>
      <c r="W182" s="2327"/>
      <c r="X182" s="2327"/>
      <c r="Y182" s="1083"/>
      <c r="Z182" s="480"/>
      <c r="AA182" s="1083"/>
      <c r="AB182" s="1083"/>
      <c r="AC182" s="1083"/>
      <c r="AD182" s="1083"/>
      <c r="AE182" s="1083"/>
      <c r="AF182" s="1555"/>
      <c r="AG182" s="502"/>
      <c r="AH182" s="502"/>
      <c r="AI182" s="502"/>
      <c r="AJ182" s="502"/>
      <c r="AK182" s="1564">
        <v>11</v>
      </c>
    </row>
    <row r="183" spans="1:37" s="1564" customFormat="1" ht="11.45" customHeight="1">
      <c r="A183" s="914"/>
      <c r="B183" s="1559"/>
      <c r="C183" s="1559"/>
      <c r="D183" s="287"/>
      <c r="P183" s="2326"/>
      <c r="Q183" s="2326"/>
      <c r="R183" s="2326"/>
      <c r="S183" s="2326"/>
      <c r="T183" s="2326"/>
      <c r="U183" s="2327"/>
      <c r="V183" s="2327"/>
      <c r="W183" s="2327"/>
      <c r="X183" s="2327"/>
      <c r="Y183" s="1083"/>
      <c r="Z183" s="480"/>
      <c r="AA183" s="1083"/>
      <c r="AB183" s="1083"/>
      <c r="AC183" s="1083"/>
      <c r="AD183" s="1083"/>
      <c r="AE183" s="1083"/>
      <c r="AF183" s="1555"/>
      <c r="AG183" s="502"/>
      <c r="AH183" s="502"/>
      <c r="AI183" s="502"/>
      <c r="AJ183" s="502"/>
      <c r="AK183" s="1564">
        <v>11</v>
      </c>
    </row>
    <row r="184" spans="1:37" s="1564" customFormat="1" ht="11.45" customHeight="1">
      <c r="A184" s="914"/>
      <c r="B184" s="1559"/>
      <c r="C184" s="1559"/>
      <c r="D184" s="287"/>
      <c r="P184" s="2326"/>
      <c r="Q184" s="2326"/>
      <c r="R184" s="2326"/>
      <c r="S184" s="2326"/>
      <c r="T184" s="2326"/>
      <c r="U184" s="2327"/>
      <c r="V184" s="2327"/>
      <c r="W184" s="2327"/>
      <c r="X184" s="2327"/>
      <c r="Y184" s="1083"/>
      <c r="Z184" s="480"/>
      <c r="AA184" s="1083"/>
      <c r="AB184" s="1083"/>
      <c r="AC184" s="1083"/>
      <c r="AD184" s="1083"/>
      <c r="AE184" s="1083"/>
      <c r="AF184" s="1555"/>
      <c r="AG184" s="502"/>
      <c r="AH184" s="502"/>
      <c r="AI184" s="502"/>
      <c r="AJ184" s="502"/>
      <c r="AK184" s="1564">
        <v>11</v>
      </c>
    </row>
    <row r="185" spans="1:37" s="1564" customFormat="1" ht="11.45" customHeight="1">
      <c r="A185" s="914"/>
      <c r="B185" s="1559"/>
      <c r="C185" s="1559"/>
      <c r="D185" s="287"/>
      <c r="P185" s="2326"/>
      <c r="Q185" s="2326"/>
      <c r="R185" s="2326"/>
      <c r="S185" s="2326"/>
      <c r="T185" s="2326"/>
      <c r="U185" s="2327"/>
      <c r="V185" s="2327"/>
      <c r="W185" s="2327"/>
      <c r="X185" s="2327"/>
      <c r="Y185" s="1083"/>
      <c r="Z185" s="480"/>
      <c r="AA185" s="1083"/>
      <c r="AB185" s="1083"/>
      <c r="AC185" s="1083"/>
      <c r="AD185" s="1083"/>
      <c r="AE185" s="1083"/>
      <c r="AF185" s="1555"/>
      <c r="AG185" s="502"/>
      <c r="AH185" s="502"/>
      <c r="AI185" s="502"/>
      <c r="AJ185" s="502"/>
      <c r="AK185" s="1564">
        <v>11</v>
      </c>
    </row>
    <row r="186" spans="1:37" s="1564" customFormat="1" ht="11.45" customHeight="1">
      <c r="A186" s="914"/>
      <c r="B186" s="1559"/>
      <c r="C186" s="1559"/>
      <c r="D186" s="287"/>
      <c r="P186" s="2326"/>
      <c r="Q186" s="2326"/>
      <c r="R186" s="2326"/>
      <c r="S186" s="2326"/>
      <c r="T186" s="2326"/>
      <c r="U186" s="2327"/>
      <c r="V186" s="2327"/>
      <c r="W186" s="2327"/>
      <c r="X186" s="2327"/>
      <c r="Y186" s="1083"/>
      <c r="Z186" s="480"/>
      <c r="AA186" s="1083"/>
      <c r="AB186" s="1083"/>
      <c r="AC186" s="1083"/>
      <c r="AD186" s="1083"/>
      <c r="AE186" s="1083"/>
      <c r="AF186" s="1555"/>
      <c r="AG186" s="502"/>
      <c r="AH186" s="502"/>
      <c r="AI186" s="502"/>
      <c r="AJ186" s="502"/>
      <c r="AK186" s="1564">
        <v>11</v>
      </c>
    </row>
    <row r="187" spans="1:37" s="1564" customFormat="1" ht="11.45" customHeight="1">
      <c r="A187" s="914"/>
      <c r="B187" s="1559"/>
      <c r="C187" s="1559"/>
      <c r="D187" s="287"/>
      <c r="P187" s="2326"/>
      <c r="Q187" s="2326"/>
      <c r="R187" s="2326"/>
      <c r="S187" s="2326"/>
      <c r="T187" s="2326"/>
      <c r="U187" s="2327"/>
      <c r="V187" s="2327"/>
      <c r="W187" s="2327"/>
      <c r="X187" s="2327"/>
      <c r="Y187" s="1083"/>
      <c r="Z187" s="480"/>
      <c r="AA187" s="1083"/>
      <c r="AB187" s="1083"/>
      <c r="AC187" s="1083"/>
      <c r="AD187" s="1083"/>
      <c r="AE187" s="1083"/>
      <c r="AF187" s="1555"/>
      <c r="AG187" s="502"/>
      <c r="AH187" s="502"/>
      <c r="AI187" s="502"/>
      <c r="AJ187" s="502"/>
      <c r="AK187" s="1564">
        <v>11</v>
      </c>
    </row>
    <row r="188" spans="1:37" s="1564" customFormat="1" ht="11.45" customHeight="1">
      <c r="A188" s="914"/>
      <c r="B188" s="1559"/>
      <c r="C188" s="1559"/>
      <c r="D188" s="287"/>
      <c r="P188" s="2326"/>
      <c r="Q188" s="2326"/>
      <c r="R188" s="2326"/>
      <c r="S188" s="2326"/>
      <c r="T188" s="2326"/>
      <c r="U188" s="2327"/>
      <c r="V188" s="2327"/>
      <c r="W188" s="2327"/>
      <c r="X188" s="2327"/>
      <c r="Y188" s="1083"/>
      <c r="Z188" s="480"/>
      <c r="AA188" s="1083"/>
      <c r="AB188" s="1083"/>
      <c r="AC188" s="1083"/>
      <c r="AD188" s="1083"/>
      <c r="AE188" s="1083"/>
      <c r="AF188" s="1555"/>
      <c r="AG188" s="502"/>
      <c r="AH188" s="502"/>
      <c r="AI188" s="502"/>
      <c r="AJ188" s="502"/>
      <c r="AK188" s="1564">
        <v>11</v>
      </c>
    </row>
    <row r="189" spans="1:37" s="1564" customFormat="1" ht="11.45" customHeight="1">
      <c r="A189" s="914"/>
      <c r="B189" s="1559"/>
      <c r="C189" s="1559"/>
      <c r="D189" s="287"/>
      <c r="P189" s="2326"/>
      <c r="Q189" s="2326"/>
      <c r="R189" s="2326"/>
      <c r="S189" s="2326"/>
      <c r="T189" s="2326"/>
      <c r="U189" s="2327"/>
      <c r="V189" s="2327"/>
      <c r="W189" s="2327"/>
      <c r="X189" s="2327"/>
      <c r="Y189" s="1083"/>
      <c r="Z189" s="480"/>
      <c r="AA189" s="1083"/>
      <c r="AB189" s="1083"/>
      <c r="AC189" s="1083"/>
      <c r="AD189" s="1083"/>
      <c r="AE189" s="1083"/>
      <c r="AF189" s="1555"/>
      <c r="AG189" s="502"/>
      <c r="AH189" s="502"/>
      <c r="AI189" s="502"/>
      <c r="AJ189" s="502"/>
      <c r="AK189" s="1564">
        <v>11</v>
      </c>
    </row>
    <row r="190" spans="1:37" s="1564" customFormat="1" ht="11.45" customHeight="1">
      <c r="A190" s="914"/>
      <c r="B190" s="1559"/>
      <c r="C190" s="1559"/>
      <c r="D190" s="287"/>
      <c r="P190" s="2326"/>
      <c r="Q190" s="2326"/>
      <c r="R190" s="2326"/>
      <c r="S190" s="2326"/>
      <c r="T190" s="2326"/>
      <c r="U190" s="2327"/>
      <c r="V190" s="2327"/>
      <c r="W190" s="2327"/>
      <c r="X190" s="2327"/>
      <c r="Y190" s="1083"/>
      <c r="Z190" s="480"/>
      <c r="AA190" s="1083"/>
      <c r="AB190" s="1083"/>
      <c r="AC190" s="1083"/>
      <c r="AD190" s="1083"/>
      <c r="AE190" s="1083"/>
      <c r="AF190" s="1555"/>
      <c r="AG190" s="502"/>
      <c r="AH190" s="502"/>
      <c r="AI190" s="502"/>
      <c r="AJ190" s="502"/>
      <c r="AK190" s="1564">
        <v>11</v>
      </c>
    </row>
    <row r="191" spans="1:37" s="1564" customFormat="1" ht="11.45" customHeight="1">
      <c r="A191" s="914"/>
      <c r="B191" s="1559"/>
      <c r="C191" s="1559"/>
      <c r="D191" s="287"/>
      <c r="P191" s="2326"/>
      <c r="Q191" s="2326"/>
      <c r="R191" s="2326"/>
      <c r="S191" s="2326"/>
      <c r="T191" s="2326"/>
      <c r="U191" s="2327"/>
      <c r="V191" s="2327"/>
      <c r="W191" s="2327"/>
      <c r="X191" s="2327"/>
      <c r="Y191" s="1083"/>
      <c r="Z191" s="480"/>
      <c r="AA191" s="1083"/>
      <c r="AB191" s="1083"/>
      <c r="AC191" s="1083"/>
      <c r="AD191" s="1083"/>
      <c r="AE191" s="1083"/>
      <c r="AF191" s="1555"/>
      <c r="AG191" s="502"/>
      <c r="AH191" s="502"/>
      <c r="AI191" s="502"/>
      <c r="AJ191" s="502"/>
      <c r="AK191" s="1564">
        <v>11</v>
      </c>
    </row>
    <row r="192" spans="1:37" s="1564" customFormat="1" ht="11.45" customHeight="1">
      <c r="A192" s="914"/>
      <c r="B192" s="1559"/>
      <c r="C192" s="1559"/>
      <c r="D192" s="287"/>
      <c r="P192" s="2326"/>
      <c r="Q192" s="2326"/>
      <c r="R192" s="2326"/>
      <c r="S192" s="2326"/>
      <c r="T192" s="2326"/>
      <c r="U192" s="2327"/>
      <c r="V192" s="2327"/>
      <c r="W192" s="2327"/>
      <c r="X192" s="2327"/>
      <c r="Y192" s="1083"/>
      <c r="Z192" s="480"/>
      <c r="AA192" s="1083"/>
      <c r="AB192" s="1083"/>
      <c r="AC192" s="1083"/>
      <c r="AD192" s="1083"/>
      <c r="AE192" s="1083"/>
      <c r="AF192" s="1555"/>
      <c r="AG192" s="502"/>
      <c r="AH192" s="502"/>
      <c r="AI192" s="502"/>
      <c r="AJ192" s="502"/>
      <c r="AK192" s="1564">
        <v>11</v>
      </c>
    </row>
    <row r="193" spans="1:37" s="1564" customFormat="1" ht="11.45" customHeight="1">
      <c r="A193" s="914"/>
      <c r="B193" s="1559"/>
      <c r="C193" s="1559"/>
      <c r="D193" s="287"/>
      <c r="P193" s="2326"/>
      <c r="Q193" s="2326"/>
      <c r="R193" s="2326"/>
      <c r="S193" s="2326"/>
      <c r="T193" s="2326"/>
      <c r="U193" s="2327"/>
      <c r="V193" s="2327"/>
      <c r="W193" s="2327"/>
      <c r="X193" s="2327"/>
      <c r="Y193" s="1083"/>
      <c r="Z193" s="480"/>
      <c r="AA193" s="1083"/>
      <c r="AB193" s="1083"/>
      <c r="AC193" s="1083"/>
      <c r="AD193" s="1083"/>
      <c r="AE193" s="1083"/>
      <c r="AF193" s="1555"/>
      <c r="AG193" s="502"/>
      <c r="AH193" s="502"/>
      <c r="AI193" s="502"/>
      <c r="AJ193" s="502"/>
      <c r="AK193" s="1564">
        <v>11</v>
      </c>
    </row>
    <row r="194" spans="1:37" s="1564" customFormat="1" ht="11.45" customHeight="1">
      <c r="A194" s="914"/>
      <c r="B194" s="1559"/>
      <c r="C194" s="1559"/>
      <c r="D194" s="287"/>
      <c r="P194" s="2326"/>
      <c r="Q194" s="2326"/>
      <c r="R194" s="2326"/>
      <c r="S194" s="2326"/>
      <c r="T194" s="2326"/>
      <c r="U194" s="2327"/>
      <c r="V194" s="2327"/>
      <c r="W194" s="2327"/>
      <c r="X194" s="2327"/>
      <c r="Y194" s="1083"/>
      <c r="Z194" s="480"/>
      <c r="AA194" s="1083"/>
      <c r="AB194" s="1083"/>
      <c r="AC194" s="1083"/>
      <c r="AD194" s="1083"/>
      <c r="AE194" s="1083"/>
      <c r="AF194" s="1555"/>
      <c r="AG194" s="502"/>
      <c r="AH194" s="502"/>
      <c r="AI194" s="502"/>
      <c r="AJ194" s="502"/>
      <c r="AK194" s="1564">
        <v>11</v>
      </c>
    </row>
    <row r="195" spans="1:37" s="1564" customFormat="1" ht="11.45" customHeight="1">
      <c r="A195" s="914"/>
      <c r="B195" s="1559"/>
      <c r="C195" s="1559"/>
      <c r="D195" s="287"/>
      <c r="P195" s="2326"/>
      <c r="Q195" s="2326"/>
      <c r="R195" s="2326"/>
      <c r="S195" s="2326"/>
      <c r="T195" s="2326"/>
      <c r="U195" s="2327"/>
      <c r="V195" s="2327"/>
      <c r="W195" s="2327"/>
      <c r="X195" s="2327"/>
      <c r="Y195" s="1083"/>
      <c r="Z195" s="480"/>
      <c r="AA195" s="1083"/>
      <c r="AB195" s="1083"/>
      <c r="AC195" s="1083"/>
      <c r="AD195" s="1083"/>
      <c r="AE195" s="1083"/>
      <c r="AF195" s="1555"/>
      <c r="AG195" s="502"/>
      <c r="AH195" s="502"/>
      <c r="AI195" s="502"/>
      <c r="AJ195" s="502"/>
      <c r="AK195" s="1564">
        <v>11</v>
      </c>
    </row>
    <row r="196" spans="1:37" s="1564" customFormat="1" ht="11.45" customHeight="1">
      <c r="A196" s="914"/>
      <c r="B196" s="1559"/>
      <c r="C196" s="1559"/>
      <c r="D196" s="287"/>
      <c r="P196" s="2326"/>
      <c r="Q196" s="2326"/>
      <c r="R196" s="2326"/>
      <c r="S196" s="2326"/>
      <c r="T196" s="2326"/>
      <c r="U196" s="2327"/>
      <c r="V196" s="2327"/>
      <c r="W196" s="2327"/>
      <c r="X196" s="2327"/>
      <c r="Y196" s="1083"/>
      <c r="Z196" s="480"/>
      <c r="AA196" s="1083"/>
      <c r="AB196" s="1083"/>
      <c r="AC196" s="1083"/>
      <c r="AD196" s="1083"/>
      <c r="AE196" s="1083"/>
      <c r="AF196" s="1555"/>
      <c r="AG196" s="502"/>
      <c r="AH196" s="502"/>
      <c r="AI196" s="502"/>
      <c r="AJ196" s="502"/>
      <c r="AK196" s="1564">
        <v>11</v>
      </c>
    </row>
    <row r="197" spans="1:37" s="1564" customFormat="1" ht="11.45" customHeight="1">
      <c r="A197" s="914"/>
      <c r="B197" s="1559"/>
      <c r="C197" s="1559"/>
      <c r="D197" s="287"/>
      <c r="P197" s="2326"/>
      <c r="Q197" s="2326"/>
      <c r="R197" s="2326"/>
      <c r="S197" s="2326"/>
      <c r="T197" s="2326"/>
      <c r="U197" s="2327"/>
      <c r="V197" s="2327"/>
      <c r="W197" s="2327"/>
      <c r="X197" s="2327"/>
      <c r="Y197" s="1083"/>
      <c r="Z197" s="480"/>
      <c r="AA197" s="1083"/>
      <c r="AB197" s="1083"/>
      <c r="AC197" s="1083"/>
      <c r="AD197" s="1083"/>
      <c r="AE197" s="1083"/>
      <c r="AF197" s="1555"/>
      <c r="AG197" s="502"/>
      <c r="AH197" s="502"/>
      <c r="AI197" s="502"/>
      <c r="AJ197" s="502"/>
      <c r="AK197" s="1564">
        <v>11</v>
      </c>
    </row>
    <row r="198" spans="1:37" s="1564" customFormat="1" ht="11.45" customHeight="1">
      <c r="A198" s="914"/>
      <c r="B198" s="1559"/>
      <c r="C198" s="1559"/>
      <c r="D198" s="287"/>
      <c r="P198" s="2326"/>
      <c r="Q198" s="2326"/>
      <c r="R198" s="2326"/>
      <c r="S198" s="2326"/>
      <c r="T198" s="2326"/>
      <c r="U198" s="2327"/>
      <c r="V198" s="2327"/>
      <c r="W198" s="2327"/>
      <c r="X198" s="2327"/>
      <c r="Y198" s="1083"/>
      <c r="Z198" s="480"/>
      <c r="AA198" s="1083"/>
      <c r="AB198" s="1083"/>
      <c r="AC198" s="1083"/>
      <c r="AD198" s="1083"/>
      <c r="AE198" s="1083"/>
      <c r="AF198" s="1555"/>
      <c r="AG198" s="502"/>
      <c r="AH198" s="502"/>
      <c r="AI198" s="502"/>
      <c r="AJ198" s="502"/>
      <c r="AK198" s="1564">
        <v>11</v>
      </c>
    </row>
    <row r="199" spans="1:37" s="1564" customFormat="1" ht="11.45" customHeight="1">
      <c r="A199" s="914"/>
      <c r="B199" s="1559"/>
      <c r="C199" s="1559"/>
      <c r="D199" s="287"/>
      <c r="P199" s="2326"/>
      <c r="Q199" s="2326"/>
      <c r="R199" s="2326"/>
      <c r="S199" s="2326"/>
      <c r="T199" s="2326"/>
      <c r="U199" s="2327"/>
      <c r="V199" s="2327"/>
      <c r="W199" s="2327"/>
      <c r="X199" s="2327"/>
      <c r="Y199" s="1083"/>
      <c r="Z199" s="480"/>
      <c r="AA199" s="1083"/>
      <c r="AB199" s="1083"/>
      <c r="AC199" s="1083"/>
      <c r="AD199" s="1083"/>
      <c r="AE199" s="1083"/>
      <c r="AF199" s="1555"/>
      <c r="AG199" s="502"/>
      <c r="AH199" s="502"/>
      <c r="AI199" s="502"/>
      <c r="AJ199" s="502"/>
      <c r="AK199" s="1564">
        <v>11</v>
      </c>
    </row>
    <row r="200" spans="1:37" s="1564" customFormat="1" ht="11.45" customHeight="1">
      <c r="A200" s="914"/>
      <c r="B200" s="1559"/>
      <c r="C200" s="1559"/>
      <c r="D200" s="287"/>
      <c r="P200" s="2326"/>
      <c r="Q200" s="2326"/>
      <c r="R200" s="2326"/>
      <c r="S200" s="2326"/>
      <c r="T200" s="2326"/>
      <c r="U200" s="2327"/>
      <c r="V200" s="2327"/>
      <c r="W200" s="2327"/>
      <c r="X200" s="2327"/>
      <c r="Y200" s="1083"/>
      <c r="Z200" s="480"/>
      <c r="AA200" s="1083"/>
      <c r="AB200" s="1083"/>
      <c r="AC200" s="1083"/>
      <c r="AD200" s="1083"/>
      <c r="AE200" s="1083"/>
      <c r="AF200" s="1555"/>
      <c r="AG200" s="502"/>
      <c r="AH200" s="502"/>
      <c r="AI200" s="502"/>
      <c r="AJ200" s="502"/>
      <c r="AK200" s="1564">
        <v>11</v>
      </c>
    </row>
    <row r="201" spans="1:37" s="1564" customFormat="1" ht="11.45" customHeight="1">
      <c r="A201" s="914"/>
      <c r="B201" s="1559"/>
      <c r="C201" s="1559"/>
      <c r="D201" s="287"/>
      <c r="P201" s="2326"/>
      <c r="Q201" s="2326"/>
      <c r="R201" s="2326"/>
      <c r="S201" s="2326"/>
      <c r="T201" s="2326"/>
      <c r="U201" s="2327"/>
      <c r="V201" s="2327"/>
      <c r="W201" s="2327"/>
      <c r="X201" s="2327"/>
      <c r="Y201" s="1083"/>
      <c r="Z201" s="480"/>
      <c r="AA201" s="1083"/>
      <c r="AB201" s="1083"/>
      <c r="AC201" s="1083"/>
      <c r="AD201" s="1083"/>
      <c r="AE201" s="1083"/>
      <c r="AF201" s="1555"/>
      <c r="AG201" s="502"/>
      <c r="AH201" s="502"/>
      <c r="AI201" s="502"/>
      <c r="AJ201" s="502"/>
      <c r="AK201" s="1564">
        <v>11</v>
      </c>
    </row>
    <row r="202" spans="1:37" s="1564" customFormat="1" ht="11.45" customHeight="1">
      <c r="A202" s="914"/>
      <c r="B202" s="1559"/>
      <c r="C202" s="1559"/>
      <c r="D202" s="287"/>
      <c r="P202" s="2326"/>
      <c r="Q202" s="2326"/>
      <c r="R202" s="2326"/>
      <c r="S202" s="2326"/>
      <c r="T202" s="2326"/>
      <c r="U202" s="2327"/>
      <c r="V202" s="2327"/>
      <c r="W202" s="2327"/>
      <c r="X202" s="2327"/>
      <c r="Y202" s="1083"/>
      <c r="Z202" s="480"/>
      <c r="AA202" s="1083"/>
      <c r="AB202" s="1083"/>
      <c r="AC202" s="1083"/>
      <c r="AD202" s="1083"/>
      <c r="AE202" s="1083"/>
      <c r="AF202" s="1555"/>
      <c r="AG202" s="502"/>
      <c r="AH202" s="502"/>
      <c r="AI202" s="502"/>
      <c r="AJ202" s="502"/>
      <c r="AK202" s="1564">
        <v>11</v>
      </c>
    </row>
    <row r="203" spans="1:37" s="1564" customFormat="1" ht="11.45" customHeight="1">
      <c r="A203" s="914"/>
      <c r="B203" s="1559"/>
      <c r="C203" s="1559"/>
      <c r="D203" s="287"/>
      <c r="P203" s="2326"/>
      <c r="Q203" s="2326"/>
      <c r="R203" s="2326"/>
      <c r="S203" s="2326"/>
      <c r="T203" s="2326"/>
      <c r="U203" s="2327"/>
      <c r="V203" s="2327"/>
      <c r="W203" s="2327"/>
      <c r="X203" s="2327"/>
      <c r="Y203" s="1083"/>
      <c r="Z203" s="480"/>
      <c r="AA203" s="1083"/>
      <c r="AB203" s="1083"/>
      <c r="AC203" s="1083"/>
      <c r="AD203" s="1083"/>
      <c r="AE203" s="1083"/>
      <c r="AF203" s="1555"/>
      <c r="AG203" s="502"/>
      <c r="AH203" s="502"/>
      <c r="AI203" s="502"/>
      <c r="AJ203" s="502"/>
      <c r="AK203" s="1564">
        <v>11</v>
      </c>
    </row>
    <row r="204" spans="1:37" s="1564" customFormat="1" ht="11.45" customHeight="1">
      <c r="A204" s="914"/>
      <c r="B204" s="1559"/>
      <c r="C204" s="1559"/>
      <c r="D204" s="287"/>
      <c r="P204" s="2326"/>
      <c r="Q204" s="2326"/>
      <c r="R204" s="2326"/>
      <c r="S204" s="2326"/>
      <c r="T204" s="2326"/>
      <c r="U204" s="2327"/>
      <c r="V204" s="2327"/>
      <c r="W204" s="2327"/>
      <c r="X204" s="2327"/>
      <c r="Y204" s="1083"/>
      <c r="Z204" s="480"/>
      <c r="AA204" s="1083"/>
      <c r="AB204" s="1083"/>
      <c r="AC204" s="1083"/>
      <c r="AD204" s="1083"/>
      <c r="AE204" s="1083"/>
      <c r="AF204" s="1555"/>
      <c r="AG204" s="502"/>
      <c r="AH204" s="502"/>
      <c r="AI204" s="502"/>
      <c r="AJ204" s="502"/>
      <c r="AK204" s="1564">
        <v>11</v>
      </c>
    </row>
    <row r="205" spans="1:37" s="1564" customFormat="1" ht="11.45" customHeight="1">
      <c r="A205" s="914"/>
      <c r="B205" s="1559"/>
      <c r="C205" s="1559"/>
      <c r="D205" s="287"/>
      <c r="P205" s="2326"/>
      <c r="Q205" s="2326"/>
      <c r="R205" s="2326"/>
      <c r="S205" s="2326"/>
      <c r="T205" s="2326"/>
      <c r="U205" s="2327"/>
      <c r="V205" s="2327"/>
      <c r="W205" s="2327"/>
      <c r="X205" s="2327"/>
      <c r="Y205" s="1083"/>
      <c r="Z205" s="480"/>
      <c r="AA205" s="1083"/>
      <c r="AB205" s="1083"/>
      <c r="AC205" s="1083"/>
      <c r="AD205" s="1083"/>
      <c r="AE205" s="1083"/>
      <c r="AF205" s="1555"/>
      <c r="AG205" s="502"/>
      <c r="AH205" s="502"/>
      <c r="AI205" s="502"/>
      <c r="AJ205" s="502"/>
      <c r="AK205" s="1564">
        <v>11</v>
      </c>
    </row>
    <row r="206" spans="1:37" s="1564" customFormat="1" ht="11.45" customHeight="1">
      <c r="A206" s="914"/>
      <c r="B206" s="1559"/>
      <c r="C206" s="1559"/>
      <c r="D206" s="287"/>
      <c r="P206" s="2326"/>
      <c r="Q206" s="2326"/>
      <c r="R206" s="2326"/>
      <c r="S206" s="2326"/>
      <c r="T206" s="2326"/>
      <c r="U206" s="2327"/>
      <c r="V206" s="2327"/>
      <c r="W206" s="2327"/>
      <c r="X206" s="2327"/>
      <c r="Y206" s="1083"/>
      <c r="Z206" s="480"/>
      <c r="AA206" s="1083"/>
      <c r="AB206" s="1083"/>
      <c r="AC206" s="1083"/>
      <c r="AD206" s="1083"/>
      <c r="AE206" s="1083"/>
      <c r="AF206" s="1555"/>
      <c r="AG206" s="502"/>
      <c r="AH206" s="502"/>
      <c r="AI206" s="502"/>
      <c r="AJ206" s="502"/>
      <c r="AK206" s="1564">
        <v>11</v>
      </c>
    </row>
    <row r="207" spans="1:37" s="1564" customFormat="1" ht="11.45" customHeight="1">
      <c r="A207" s="914"/>
      <c r="B207" s="1559"/>
      <c r="C207" s="1559"/>
      <c r="D207" s="287"/>
      <c r="P207" s="2326"/>
      <c r="Q207" s="2326"/>
      <c r="R207" s="2326"/>
      <c r="S207" s="2326"/>
      <c r="T207" s="2326"/>
      <c r="U207" s="2327"/>
      <c r="V207" s="2327"/>
      <c r="W207" s="2327"/>
      <c r="X207" s="2327"/>
      <c r="Y207" s="1083"/>
      <c r="Z207" s="480"/>
      <c r="AA207" s="1083"/>
      <c r="AB207" s="1083"/>
      <c r="AC207" s="1083"/>
      <c r="AD207" s="1083"/>
      <c r="AE207" s="1083"/>
      <c r="AF207" s="1555"/>
      <c r="AG207" s="502"/>
      <c r="AH207" s="502"/>
      <c r="AI207" s="502"/>
      <c r="AJ207" s="502"/>
      <c r="AK207" s="1564">
        <v>11</v>
      </c>
    </row>
    <row r="208" spans="1:37" s="1564" customFormat="1" ht="11.45" customHeight="1">
      <c r="A208" s="914"/>
      <c r="B208" s="1559"/>
      <c r="C208" s="1559"/>
      <c r="D208" s="287"/>
      <c r="P208" s="2326"/>
      <c r="Q208" s="2326"/>
      <c r="R208" s="2326"/>
      <c r="S208" s="2326"/>
      <c r="T208" s="2326"/>
      <c r="U208" s="2327"/>
      <c r="V208" s="2327"/>
      <c r="W208" s="2327"/>
      <c r="X208" s="2327"/>
      <c r="Y208" s="1083"/>
      <c r="Z208" s="480"/>
      <c r="AA208" s="1083"/>
      <c r="AB208" s="1083"/>
      <c r="AC208" s="1083"/>
      <c r="AD208" s="1083"/>
      <c r="AE208" s="1083"/>
      <c r="AF208" s="1555"/>
      <c r="AG208" s="502"/>
      <c r="AH208" s="502"/>
      <c r="AI208" s="502"/>
      <c r="AJ208" s="502"/>
      <c r="AK208" s="1564">
        <v>11</v>
      </c>
    </row>
    <row r="209" spans="1:37" s="1564" customFormat="1" ht="11.45" customHeight="1">
      <c r="A209" s="914"/>
      <c r="B209" s="1559"/>
      <c r="C209" s="1559"/>
      <c r="D209" s="287"/>
      <c r="P209" s="2326"/>
      <c r="Q209" s="2326"/>
      <c r="R209" s="2326"/>
      <c r="S209" s="2326"/>
      <c r="T209" s="2326"/>
      <c r="U209" s="2327"/>
      <c r="V209" s="2327"/>
      <c r="W209" s="2327"/>
      <c r="X209" s="2327"/>
      <c r="Y209" s="1083"/>
      <c r="Z209" s="480"/>
      <c r="AA209" s="1083"/>
      <c r="AB209" s="1083"/>
      <c r="AC209" s="1083"/>
      <c r="AD209" s="1083"/>
      <c r="AE209" s="1083"/>
      <c r="AF209" s="1555"/>
      <c r="AG209" s="502"/>
      <c r="AH209" s="502"/>
      <c r="AI209" s="502"/>
      <c r="AJ209" s="502"/>
      <c r="AK209" s="1564">
        <v>11</v>
      </c>
    </row>
    <row r="210" spans="1:37" s="1564" customFormat="1" ht="11.45" customHeight="1">
      <c r="A210" s="914"/>
      <c r="B210" s="1559"/>
      <c r="C210" s="1559"/>
      <c r="D210" s="287"/>
      <c r="P210" s="2326"/>
      <c r="Q210" s="2326"/>
      <c r="R210" s="2326"/>
      <c r="S210" s="2326"/>
      <c r="T210" s="2326"/>
      <c r="U210" s="2327"/>
      <c r="V210" s="2327"/>
      <c r="W210" s="2327"/>
      <c r="X210" s="2327"/>
      <c r="Y210" s="1083"/>
      <c r="Z210" s="480"/>
      <c r="AA210" s="1083"/>
      <c r="AB210" s="1083"/>
      <c r="AC210" s="1083"/>
      <c r="AD210" s="1083"/>
      <c r="AE210" s="1083"/>
      <c r="AF210" s="1555"/>
      <c r="AG210" s="502"/>
      <c r="AH210" s="502"/>
      <c r="AI210" s="502"/>
      <c r="AJ210" s="502"/>
      <c r="AK210" s="1564">
        <v>11</v>
      </c>
    </row>
    <row r="211" spans="1:37" s="1564" customFormat="1" ht="11.45" customHeight="1">
      <c r="A211" s="914"/>
      <c r="B211" s="1559"/>
      <c r="C211" s="1559"/>
      <c r="D211" s="287"/>
      <c r="P211" s="2326"/>
      <c r="Q211" s="2326"/>
      <c r="R211" s="2326"/>
      <c r="S211" s="2326"/>
      <c r="T211" s="2326"/>
      <c r="U211" s="2327"/>
      <c r="V211" s="2327"/>
      <c r="W211" s="2327"/>
      <c r="X211" s="2327"/>
      <c r="Y211" s="1083"/>
      <c r="Z211" s="480"/>
      <c r="AA211" s="1083"/>
      <c r="AB211" s="1083"/>
      <c r="AC211" s="1083"/>
      <c r="AD211" s="1083"/>
      <c r="AE211" s="1083"/>
      <c r="AF211" s="1555"/>
      <c r="AG211" s="502"/>
      <c r="AH211" s="502"/>
      <c r="AI211" s="502"/>
      <c r="AJ211" s="502"/>
      <c r="AK211" s="1564">
        <v>11</v>
      </c>
    </row>
    <row r="212" spans="1:37" s="1564" customFormat="1" ht="11.45" customHeight="1">
      <c r="A212" s="914"/>
      <c r="B212" s="1559"/>
      <c r="C212" s="1559"/>
      <c r="D212" s="287"/>
      <c r="P212" s="2326"/>
      <c r="Q212" s="2326"/>
      <c r="R212" s="2326"/>
      <c r="S212" s="2326"/>
      <c r="T212" s="2326"/>
      <c r="U212" s="2327"/>
      <c r="V212" s="2327"/>
      <c r="W212" s="2327"/>
      <c r="X212" s="2327"/>
      <c r="Y212" s="1083"/>
      <c r="Z212" s="480"/>
      <c r="AA212" s="1083"/>
      <c r="AB212" s="1083"/>
      <c r="AC212" s="1083"/>
      <c r="AD212" s="1083"/>
      <c r="AE212" s="1083"/>
      <c r="AF212" s="1555"/>
      <c r="AG212" s="502"/>
      <c r="AH212" s="502"/>
      <c r="AI212" s="502"/>
      <c r="AJ212" s="502"/>
      <c r="AK212" s="1564">
        <v>11</v>
      </c>
    </row>
    <row r="213" spans="1:37" s="1564" customFormat="1" ht="11.45" customHeight="1">
      <c r="A213" s="914"/>
      <c r="B213" s="1559"/>
      <c r="C213" s="1559"/>
      <c r="D213" s="287"/>
      <c r="P213" s="2326"/>
      <c r="Q213" s="2326"/>
      <c r="R213" s="2326"/>
      <c r="S213" s="2326"/>
      <c r="T213" s="2326"/>
      <c r="U213" s="2327"/>
      <c r="V213" s="2327"/>
      <c r="W213" s="2327"/>
      <c r="X213" s="2327"/>
      <c r="Y213" s="1083"/>
      <c r="Z213" s="480"/>
      <c r="AA213" s="1083"/>
      <c r="AB213" s="1083"/>
      <c r="AC213" s="1083"/>
      <c r="AD213" s="1083"/>
      <c r="AE213" s="1083"/>
      <c r="AF213" s="1555"/>
      <c r="AG213" s="502"/>
      <c r="AH213" s="502"/>
      <c r="AI213" s="502"/>
      <c r="AJ213" s="502"/>
      <c r="AK213" s="1564">
        <v>11</v>
      </c>
    </row>
    <row r="214" spans="1:37" s="1564" customFormat="1" ht="11.45" customHeight="1">
      <c r="A214" s="914"/>
      <c r="B214" s="1559"/>
      <c r="C214" s="1559"/>
      <c r="D214" s="287"/>
      <c r="P214" s="2326"/>
      <c r="Q214" s="2326"/>
      <c r="R214" s="2326"/>
      <c r="S214" s="2326"/>
      <c r="T214" s="2326"/>
      <c r="U214" s="2327"/>
      <c r="V214" s="2327"/>
      <c r="W214" s="2327"/>
      <c r="X214" s="2327"/>
      <c r="Y214" s="1083"/>
      <c r="Z214" s="480"/>
      <c r="AA214" s="1083"/>
      <c r="AB214" s="1083"/>
      <c r="AC214" s="1083"/>
      <c r="AD214" s="1083"/>
      <c r="AE214" s="1083"/>
      <c r="AF214" s="1555"/>
      <c r="AG214" s="502"/>
      <c r="AH214" s="502"/>
      <c r="AI214" s="502"/>
      <c r="AJ214" s="502"/>
      <c r="AK214" s="1564">
        <v>11</v>
      </c>
    </row>
    <row r="215" spans="1:37" s="1564" customFormat="1" ht="11.45" customHeight="1">
      <c r="A215" s="914"/>
      <c r="B215" s="1559"/>
      <c r="C215" s="1559"/>
      <c r="D215" s="287"/>
      <c r="P215" s="2326"/>
      <c r="Q215" s="2326"/>
      <c r="R215" s="2326"/>
      <c r="S215" s="2326"/>
      <c r="T215" s="2326"/>
      <c r="U215" s="2327"/>
      <c r="V215" s="2327"/>
      <c r="W215" s="2327"/>
      <c r="X215" s="2327"/>
      <c r="Y215" s="1083"/>
      <c r="Z215" s="480"/>
      <c r="AA215" s="1083"/>
      <c r="AB215" s="1083"/>
      <c r="AC215" s="1083"/>
      <c r="AD215" s="1083"/>
      <c r="AE215" s="1083"/>
      <c r="AF215" s="1555"/>
      <c r="AG215" s="502"/>
      <c r="AH215" s="502"/>
      <c r="AI215" s="502"/>
      <c r="AJ215" s="502"/>
      <c r="AK215" s="1564">
        <v>11</v>
      </c>
    </row>
    <row r="216" spans="1:37" s="1564" customFormat="1" ht="11.45" customHeight="1">
      <c r="A216" s="914"/>
      <c r="B216" s="1559"/>
      <c r="C216" s="1559"/>
      <c r="D216" s="287"/>
      <c r="P216" s="2326"/>
      <c r="Q216" s="2326"/>
      <c r="R216" s="2326"/>
      <c r="S216" s="2326"/>
      <c r="T216" s="2326"/>
      <c r="U216" s="2327"/>
      <c r="V216" s="2327"/>
      <c r="W216" s="2327"/>
      <c r="X216" s="2327"/>
      <c r="Y216" s="1083"/>
      <c r="Z216" s="480"/>
      <c r="AA216" s="1083"/>
      <c r="AB216" s="1083"/>
      <c r="AC216" s="1083"/>
      <c r="AD216" s="1083"/>
      <c r="AE216" s="1083"/>
      <c r="AF216" s="1555"/>
      <c r="AG216" s="502"/>
      <c r="AH216" s="502"/>
      <c r="AI216" s="502"/>
      <c r="AJ216" s="502"/>
      <c r="AK216" s="1564">
        <v>11</v>
      </c>
    </row>
    <row r="217" spans="1:37" s="1564" customFormat="1" ht="11.45" customHeight="1">
      <c r="A217" s="914"/>
      <c r="B217" s="1559"/>
      <c r="C217" s="1559"/>
      <c r="D217" s="287"/>
      <c r="P217" s="2326"/>
      <c r="Q217" s="2326"/>
      <c r="R217" s="2326"/>
      <c r="S217" s="2326"/>
      <c r="T217" s="2326"/>
      <c r="U217" s="2327"/>
      <c r="V217" s="2327"/>
      <c r="W217" s="2327"/>
      <c r="X217" s="2327"/>
      <c r="Y217" s="1083"/>
      <c r="Z217" s="480"/>
      <c r="AA217" s="1083"/>
      <c r="AB217" s="1083"/>
      <c r="AC217" s="1083"/>
      <c r="AD217" s="1083"/>
      <c r="AE217" s="1083"/>
      <c r="AF217" s="1555"/>
      <c r="AG217" s="502"/>
      <c r="AH217" s="502"/>
      <c r="AI217" s="502"/>
      <c r="AJ217" s="502"/>
      <c r="AK217" s="1564">
        <v>11</v>
      </c>
    </row>
    <row r="218" spans="1:37" s="1564" customFormat="1" ht="11.45" customHeight="1">
      <c r="A218" s="914"/>
      <c r="B218" s="1559"/>
      <c r="C218" s="1559"/>
      <c r="D218" s="287"/>
      <c r="P218" s="2326"/>
      <c r="Q218" s="2326"/>
      <c r="R218" s="2326"/>
      <c r="S218" s="2326"/>
      <c r="T218" s="2326"/>
      <c r="U218" s="2327"/>
      <c r="V218" s="2327"/>
      <c r="W218" s="2327"/>
      <c r="X218" s="2327"/>
      <c r="Y218" s="1083"/>
      <c r="Z218" s="480"/>
      <c r="AA218" s="1083"/>
      <c r="AB218" s="1083"/>
      <c r="AC218" s="1083"/>
      <c r="AD218" s="1083"/>
      <c r="AE218" s="1083"/>
      <c r="AF218" s="1555"/>
      <c r="AG218" s="502"/>
      <c r="AH218" s="502"/>
      <c r="AI218" s="502"/>
      <c r="AJ218" s="502"/>
      <c r="AK218" s="1564">
        <v>11</v>
      </c>
    </row>
    <row r="219" spans="1:37" s="1564" customFormat="1" ht="11.45" customHeight="1">
      <c r="A219" s="914"/>
      <c r="B219" s="1559"/>
      <c r="C219" s="1559"/>
      <c r="D219" s="287"/>
      <c r="P219" s="2326"/>
      <c r="Q219" s="2326"/>
      <c r="R219" s="2326"/>
      <c r="S219" s="2326"/>
      <c r="T219" s="2326"/>
      <c r="U219" s="2327"/>
      <c r="V219" s="2327"/>
      <c r="W219" s="2327"/>
      <c r="X219" s="2327"/>
      <c r="Y219" s="1083"/>
      <c r="Z219" s="480"/>
      <c r="AA219" s="1083"/>
      <c r="AB219" s="1083"/>
      <c r="AC219" s="1083"/>
      <c r="AD219" s="1083"/>
      <c r="AE219" s="1083"/>
      <c r="AF219" s="1555"/>
      <c r="AG219" s="502"/>
      <c r="AH219" s="502"/>
      <c r="AI219" s="502"/>
      <c r="AJ219" s="502"/>
      <c r="AK219" s="1564">
        <v>11</v>
      </c>
    </row>
    <row r="220" spans="1:37" s="1564" customFormat="1" ht="11.45" customHeight="1">
      <c r="A220" s="914"/>
      <c r="B220" s="1559"/>
      <c r="C220" s="1559"/>
      <c r="D220" s="287"/>
      <c r="P220" s="2326"/>
      <c r="Q220" s="2326"/>
      <c r="R220" s="2326"/>
      <c r="S220" s="2326"/>
      <c r="T220" s="2326"/>
      <c r="U220" s="2327"/>
      <c r="V220" s="2327"/>
      <c r="W220" s="2327"/>
      <c r="X220" s="2327"/>
      <c r="Y220" s="1083"/>
      <c r="Z220" s="480"/>
      <c r="AA220" s="1083"/>
      <c r="AB220" s="1083"/>
      <c r="AC220" s="1083"/>
      <c r="AD220" s="1083"/>
      <c r="AE220" s="1083"/>
      <c r="AF220" s="1555"/>
      <c r="AG220" s="502"/>
      <c r="AH220" s="502"/>
      <c r="AI220" s="502"/>
      <c r="AJ220" s="502"/>
      <c r="AK220" s="1564">
        <v>11</v>
      </c>
    </row>
    <row r="221" spans="1:37" s="1564" customFormat="1" ht="11.45" customHeight="1">
      <c r="A221" s="914"/>
      <c r="B221" s="1559"/>
      <c r="C221" s="1559"/>
      <c r="D221" s="287"/>
      <c r="P221" s="2326"/>
      <c r="Q221" s="2326"/>
      <c r="R221" s="2326"/>
      <c r="S221" s="2326"/>
      <c r="T221" s="2326"/>
      <c r="U221" s="2327"/>
      <c r="V221" s="2327"/>
      <c r="W221" s="2327"/>
      <c r="X221" s="2327"/>
      <c r="Y221" s="1083"/>
      <c r="Z221" s="480"/>
      <c r="AA221" s="1083"/>
      <c r="AB221" s="1083"/>
      <c r="AC221" s="1083"/>
      <c r="AD221" s="1083"/>
      <c r="AE221" s="1083"/>
      <c r="AF221" s="1555"/>
      <c r="AG221" s="502"/>
      <c r="AH221" s="502"/>
      <c r="AI221" s="502"/>
      <c r="AJ221" s="502"/>
      <c r="AK221" s="1564">
        <v>11</v>
      </c>
    </row>
    <row r="222" spans="1:37" s="1564" customFormat="1" ht="11.45" customHeight="1">
      <c r="A222" s="914"/>
      <c r="B222" s="1559"/>
      <c r="C222" s="1559"/>
      <c r="D222" s="287"/>
      <c r="P222" s="2326"/>
      <c r="Q222" s="2326"/>
      <c r="R222" s="2326"/>
      <c r="S222" s="2326"/>
      <c r="T222" s="2326"/>
      <c r="U222" s="2327"/>
      <c r="V222" s="2327"/>
      <c r="W222" s="2327"/>
      <c r="X222" s="2327"/>
      <c r="Y222" s="1083"/>
      <c r="Z222" s="480"/>
      <c r="AA222" s="1083"/>
      <c r="AB222" s="1083"/>
      <c r="AC222" s="1083"/>
      <c r="AD222" s="1083"/>
      <c r="AE222" s="1083"/>
      <c r="AF222" s="1555"/>
      <c r="AG222" s="502"/>
      <c r="AH222" s="502"/>
      <c r="AI222" s="502"/>
      <c r="AJ222" s="502"/>
      <c r="AK222" s="1564">
        <v>11</v>
      </c>
    </row>
    <row r="223" spans="1:37" s="1564" customFormat="1" ht="11.45" customHeight="1">
      <c r="A223" s="914"/>
      <c r="B223" s="1559"/>
      <c r="C223" s="1559"/>
      <c r="D223" s="287"/>
      <c r="P223" s="2326"/>
      <c r="Q223" s="2326"/>
      <c r="R223" s="2326"/>
      <c r="S223" s="2326"/>
      <c r="T223" s="2326"/>
      <c r="U223" s="2327"/>
      <c r="V223" s="2327"/>
      <c r="W223" s="2327"/>
      <c r="X223" s="2327"/>
      <c r="Y223" s="1083"/>
      <c r="Z223" s="480"/>
      <c r="AA223" s="1083"/>
      <c r="AB223" s="1083"/>
      <c r="AC223" s="1083"/>
      <c r="AD223" s="1083"/>
      <c r="AE223" s="1083"/>
      <c r="AF223" s="1555"/>
      <c r="AG223" s="502"/>
      <c r="AH223" s="502"/>
      <c r="AI223" s="502"/>
      <c r="AJ223" s="502"/>
      <c r="AK223" s="1564">
        <v>11</v>
      </c>
    </row>
    <row r="224" spans="1:37" s="1564" customFormat="1" ht="11.45" customHeight="1">
      <c r="A224" s="914"/>
      <c r="B224" s="1559"/>
      <c r="C224" s="1559"/>
      <c r="D224" s="287"/>
      <c r="P224" s="2326"/>
      <c r="Q224" s="2326"/>
      <c r="R224" s="2326"/>
      <c r="S224" s="2326"/>
      <c r="T224" s="2326"/>
      <c r="U224" s="2327"/>
      <c r="V224" s="2327"/>
      <c r="W224" s="2327"/>
      <c r="X224" s="2327"/>
      <c r="Y224" s="1083"/>
      <c r="Z224" s="480"/>
      <c r="AA224" s="1083"/>
      <c r="AB224" s="1083"/>
      <c r="AC224" s="1083"/>
      <c r="AD224" s="1083"/>
      <c r="AE224" s="1083"/>
      <c r="AF224" s="1555"/>
      <c r="AG224" s="502"/>
      <c r="AH224" s="502"/>
      <c r="AI224" s="502"/>
      <c r="AJ224" s="502"/>
      <c r="AK224" s="1564">
        <v>11</v>
      </c>
    </row>
    <row r="225" spans="1:37" s="1564" customFormat="1" ht="11.45" customHeight="1">
      <c r="A225" s="914"/>
      <c r="B225" s="1559"/>
      <c r="C225" s="1559"/>
      <c r="D225" s="287"/>
      <c r="P225" s="2326"/>
      <c r="Q225" s="2326"/>
      <c r="R225" s="2326"/>
      <c r="S225" s="2326"/>
      <c r="T225" s="2326"/>
      <c r="U225" s="2327"/>
      <c r="V225" s="2327"/>
      <c r="W225" s="2327"/>
      <c r="X225" s="2327"/>
      <c r="Y225" s="1083"/>
      <c r="Z225" s="480"/>
      <c r="AA225" s="1083"/>
      <c r="AB225" s="1083"/>
      <c r="AC225" s="1083"/>
      <c r="AD225" s="1083"/>
      <c r="AE225" s="1083"/>
      <c r="AF225" s="1555"/>
      <c r="AG225" s="502"/>
      <c r="AH225" s="502"/>
      <c r="AI225" s="502"/>
      <c r="AJ225" s="502"/>
      <c r="AK225" s="1564">
        <v>11</v>
      </c>
    </row>
    <row r="226" spans="1:37" s="1564" customFormat="1" ht="11.45" customHeight="1">
      <c r="A226" s="914"/>
      <c r="B226" s="1559"/>
      <c r="C226" s="1559"/>
      <c r="D226" s="287"/>
      <c r="P226" s="2326"/>
      <c r="Q226" s="2326"/>
      <c r="R226" s="2326"/>
      <c r="S226" s="2326"/>
      <c r="T226" s="2326"/>
      <c r="U226" s="2327"/>
      <c r="V226" s="2327"/>
      <c r="W226" s="2327"/>
      <c r="X226" s="2327"/>
      <c r="Y226" s="1083"/>
      <c r="Z226" s="480"/>
      <c r="AA226" s="1083"/>
      <c r="AB226" s="1083"/>
      <c r="AC226" s="1083"/>
      <c r="AD226" s="1083"/>
      <c r="AE226" s="1083"/>
      <c r="AF226" s="1555"/>
      <c r="AG226" s="502"/>
      <c r="AH226" s="502"/>
      <c r="AI226" s="502"/>
      <c r="AJ226" s="502"/>
      <c r="AK226" s="1564">
        <v>11</v>
      </c>
    </row>
    <row r="227" spans="1:37" s="1564" customFormat="1" ht="11.45" customHeight="1">
      <c r="A227" s="914"/>
      <c r="B227" s="1559"/>
      <c r="C227" s="1559"/>
      <c r="D227" s="287"/>
      <c r="P227" s="2326"/>
      <c r="Q227" s="2326"/>
      <c r="R227" s="2326"/>
      <c r="S227" s="2326"/>
      <c r="T227" s="2326"/>
      <c r="U227" s="2327"/>
      <c r="V227" s="2327"/>
      <c r="W227" s="2327"/>
      <c r="X227" s="2327"/>
      <c r="Y227" s="1083"/>
      <c r="Z227" s="480"/>
      <c r="AA227" s="1083"/>
      <c r="AB227" s="1083"/>
      <c r="AC227" s="1083"/>
      <c r="AD227" s="1083"/>
      <c r="AE227" s="1083"/>
      <c r="AF227" s="1555"/>
      <c r="AG227" s="502"/>
      <c r="AH227" s="502"/>
      <c r="AI227" s="502"/>
      <c r="AJ227" s="502"/>
      <c r="AK227" s="1564">
        <v>11</v>
      </c>
    </row>
    <row r="228" spans="1:37" s="1564" customFormat="1" ht="11.45" customHeight="1">
      <c r="A228" s="914"/>
      <c r="B228" s="1559"/>
      <c r="C228" s="1559"/>
      <c r="D228" s="287"/>
      <c r="P228" s="2326"/>
      <c r="Q228" s="2326"/>
      <c r="R228" s="2326"/>
      <c r="S228" s="2326"/>
      <c r="T228" s="2326"/>
      <c r="U228" s="2327"/>
      <c r="V228" s="2327"/>
      <c r="W228" s="2327"/>
      <c r="X228" s="2327"/>
      <c r="Y228" s="1083"/>
      <c r="Z228" s="480"/>
      <c r="AA228" s="1083"/>
      <c r="AB228" s="1083"/>
      <c r="AC228" s="1083"/>
      <c r="AD228" s="1083"/>
      <c r="AE228" s="1083"/>
      <c r="AF228" s="1555"/>
      <c r="AG228" s="502"/>
      <c r="AH228" s="502"/>
      <c r="AI228" s="502"/>
      <c r="AJ228" s="502"/>
      <c r="AK228" s="1564">
        <v>11</v>
      </c>
    </row>
    <row r="229" spans="1:37" s="1564" customFormat="1" ht="11.45" customHeight="1">
      <c r="A229" s="914"/>
      <c r="B229" s="1559"/>
      <c r="C229" s="1559"/>
      <c r="D229" s="287"/>
      <c r="P229" s="2326"/>
      <c r="Q229" s="2326"/>
      <c r="R229" s="2326"/>
      <c r="S229" s="2326"/>
      <c r="T229" s="2326"/>
      <c r="U229" s="2327"/>
      <c r="V229" s="2327"/>
      <c r="W229" s="2327"/>
      <c r="X229" s="2327"/>
      <c r="Y229" s="1083"/>
      <c r="Z229" s="480"/>
      <c r="AA229" s="1083"/>
      <c r="AB229" s="1083"/>
      <c r="AC229" s="1083"/>
      <c r="AD229" s="1083"/>
      <c r="AE229" s="1083"/>
      <c r="AF229" s="1555"/>
      <c r="AG229" s="502"/>
      <c r="AH229" s="502"/>
      <c r="AI229" s="502"/>
      <c r="AJ229" s="502"/>
      <c r="AK229" s="1564">
        <v>11</v>
      </c>
    </row>
    <row r="230" spans="1:37" s="1564" customFormat="1" ht="11.45" customHeight="1">
      <c r="A230" s="914"/>
      <c r="B230" s="1559"/>
      <c r="C230" s="1559"/>
      <c r="D230" s="287"/>
      <c r="P230" s="2326"/>
      <c r="Q230" s="2326"/>
      <c r="R230" s="2326"/>
      <c r="S230" s="2326"/>
      <c r="T230" s="2326"/>
      <c r="U230" s="2327"/>
      <c r="V230" s="2327"/>
      <c r="W230" s="2327"/>
      <c r="X230" s="2327"/>
      <c r="Y230" s="1083"/>
      <c r="Z230" s="480"/>
      <c r="AA230" s="1083"/>
      <c r="AB230" s="1083"/>
      <c r="AC230" s="1083"/>
      <c r="AD230" s="1083"/>
      <c r="AE230" s="1083"/>
      <c r="AF230" s="1555"/>
      <c r="AG230" s="502"/>
      <c r="AH230" s="502"/>
      <c r="AI230" s="502"/>
      <c r="AJ230" s="502"/>
      <c r="AK230" s="1564">
        <v>11</v>
      </c>
    </row>
    <row r="231" spans="1:37" s="1564" customFormat="1" ht="11.45" customHeight="1">
      <c r="A231" s="914"/>
      <c r="B231" s="1559"/>
      <c r="C231" s="1559"/>
      <c r="D231" s="287"/>
      <c r="P231" s="2326"/>
      <c r="Q231" s="2326"/>
      <c r="R231" s="2326"/>
      <c r="S231" s="2326"/>
      <c r="T231" s="2326"/>
      <c r="U231" s="2327"/>
      <c r="V231" s="2327"/>
      <c r="W231" s="2327"/>
      <c r="X231" s="2327"/>
      <c r="Y231" s="1083"/>
      <c r="Z231" s="480"/>
      <c r="AA231" s="1083"/>
      <c r="AB231" s="1083"/>
      <c r="AC231" s="1083"/>
      <c r="AD231" s="1083"/>
      <c r="AE231" s="1083"/>
      <c r="AF231" s="1555"/>
      <c r="AG231" s="502"/>
      <c r="AH231" s="502"/>
      <c r="AI231" s="502"/>
      <c r="AJ231" s="502"/>
      <c r="AK231" s="1564">
        <v>11</v>
      </c>
    </row>
    <row r="232" spans="1:37" s="1564" customFormat="1" ht="11.45" customHeight="1">
      <c r="A232" s="914"/>
      <c r="B232" s="1559"/>
      <c r="C232" s="1559"/>
      <c r="D232" s="287"/>
      <c r="P232" s="2326"/>
      <c r="Q232" s="2326"/>
      <c r="R232" s="2326"/>
      <c r="S232" s="2326"/>
      <c r="T232" s="2326"/>
      <c r="U232" s="2327"/>
      <c r="V232" s="2327"/>
      <c r="W232" s="2327"/>
      <c r="X232" s="2327"/>
      <c r="Y232" s="1083"/>
      <c r="Z232" s="480"/>
      <c r="AA232" s="1083"/>
      <c r="AB232" s="1083"/>
      <c r="AC232" s="1083"/>
      <c r="AD232" s="1083"/>
      <c r="AE232" s="1083"/>
      <c r="AF232" s="1555"/>
      <c r="AG232" s="502"/>
      <c r="AH232" s="502"/>
      <c r="AI232" s="502"/>
      <c r="AJ232" s="502"/>
      <c r="AK232" s="1564">
        <v>11</v>
      </c>
    </row>
    <row r="233" spans="1:37" s="1564" customFormat="1" ht="11.45" customHeight="1">
      <c r="A233" s="914"/>
      <c r="B233" s="1559"/>
      <c r="C233" s="1559"/>
      <c r="D233" s="287"/>
      <c r="P233" s="2326"/>
      <c r="Q233" s="2326"/>
      <c r="R233" s="2326"/>
      <c r="S233" s="2326"/>
      <c r="T233" s="2326"/>
      <c r="U233" s="2327"/>
      <c r="V233" s="2327"/>
      <c r="W233" s="2327"/>
      <c r="X233" s="2327"/>
      <c r="Y233" s="1083"/>
      <c r="Z233" s="480"/>
      <c r="AA233" s="1083"/>
      <c r="AB233" s="1083"/>
      <c r="AC233" s="1083"/>
      <c r="AD233" s="1083"/>
      <c r="AE233" s="1083"/>
      <c r="AF233" s="1555"/>
      <c r="AG233" s="502"/>
      <c r="AH233" s="502"/>
      <c r="AI233" s="502"/>
      <c r="AJ233" s="502"/>
      <c r="AK233" s="1564">
        <v>11</v>
      </c>
    </row>
    <row r="234" spans="1:37" s="1564" customFormat="1" ht="11.45" customHeight="1">
      <c r="A234" s="914"/>
      <c r="B234" s="1559"/>
      <c r="C234" s="1559"/>
      <c r="D234" s="287"/>
      <c r="P234" s="2326"/>
      <c r="Q234" s="2326"/>
      <c r="R234" s="2326"/>
      <c r="S234" s="2326"/>
      <c r="T234" s="2326"/>
      <c r="U234" s="2327"/>
      <c r="V234" s="2327"/>
      <c r="W234" s="2327"/>
      <c r="X234" s="2327"/>
      <c r="Y234" s="1083"/>
      <c r="Z234" s="480"/>
      <c r="AA234" s="1083"/>
      <c r="AB234" s="1083"/>
      <c r="AC234" s="1083"/>
      <c r="AD234" s="1083"/>
      <c r="AE234" s="1083"/>
      <c r="AF234" s="1555"/>
      <c r="AG234" s="502"/>
      <c r="AH234" s="502"/>
      <c r="AI234" s="502"/>
      <c r="AJ234" s="502"/>
      <c r="AK234" s="1564">
        <v>11</v>
      </c>
    </row>
    <row r="235" spans="1:37" s="1564" customFormat="1" ht="11.45" customHeight="1">
      <c r="A235" s="914"/>
      <c r="B235" s="1559"/>
      <c r="C235" s="1559"/>
      <c r="D235" s="287"/>
      <c r="P235" s="2326"/>
      <c r="Q235" s="2326"/>
      <c r="R235" s="2326"/>
      <c r="S235" s="2326"/>
      <c r="T235" s="2326"/>
      <c r="U235" s="2327"/>
      <c r="V235" s="2327"/>
      <c r="W235" s="2327"/>
      <c r="X235" s="2327"/>
      <c r="Y235" s="1083"/>
      <c r="Z235" s="480"/>
      <c r="AA235" s="1083"/>
      <c r="AB235" s="1083"/>
      <c r="AC235" s="1083"/>
      <c r="AD235" s="1083"/>
      <c r="AE235" s="1083"/>
      <c r="AF235" s="1555"/>
      <c r="AG235" s="502"/>
      <c r="AH235" s="502"/>
      <c r="AI235" s="502"/>
      <c r="AJ235" s="502"/>
      <c r="AK235" s="1564">
        <v>11</v>
      </c>
    </row>
    <row r="236" spans="1:37" s="1564" customFormat="1" ht="11.45" customHeight="1">
      <c r="A236" s="914"/>
      <c r="B236" s="1559"/>
      <c r="C236" s="1559"/>
      <c r="D236" s="287"/>
      <c r="P236" s="2326"/>
      <c r="Q236" s="2326"/>
      <c r="R236" s="2326"/>
      <c r="S236" s="2326"/>
      <c r="T236" s="2326"/>
      <c r="U236" s="2327"/>
      <c r="V236" s="2327"/>
      <c r="W236" s="2327"/>
      <c r="X236" s="2327"/>
      <c r="Y236" s="1083"/>
      <c r="Z236" s="480"/>
      <c r="AA236" s="1083"/>
      <c r="AB236" s="1083"/>
      <c r="AC236" s="1083"/>
      <c r="AD236" s="1083"/>
      <c r="AE236" s="1083"/>
      <c r="AF236" s="1555"/>
      <c r="AG236" s="502"/>
      <c r="AH236" s="502"/>
      <c r="AI236" s="502"/>
      <c r="AJ236" s="502"/>
      <c r="AK236" s="1564">
        <v>11</v>
      </c>
    </row>
    <row r="237" spans="1:37" s="1564" customFormat="1" ht="11.45" customHeight="1">
      <c r="A237" s="914"/>
      <c r="B237" s="1559"/>
      <c r="C237" s="1559"/>
      <c r="D237" s="287"/>
      <c r="P237" s="2326"/>
      <c r="Q237" s="2326"/>
      <c r="R237" s="2326"/>
      <c r="S237" s="2326"/>
      <c r="T237" s="2326"/>
      <c r="U237" s="2327"/>
      <c r="V237" s="2327"/>
      <c r="W237" s="2327"/>
      <c r="X237" s="2327"/>
      <c r="Y237" s="1083"/>
      <c r="Z237" s="480"/>
      <c r="AA237" s="1083"/>
      <c r="AB237" s="1083"/>
      <c r="AC237" s="1083"/>
      <c r="AD237" s="1083"/>
      <c r="AE237" s="1083"/>
      <c r="AF237" s="1555"/>
      <c r="AG237" s="502"/>
      <c r="AH237" s="502"/>
      <c r="AI237" s="502"/>
      <c r="AJ237" s="502"/>
      <c r="AK237" s="1564">
        <v>11</v>
      </c>
    </row>
    <row r="238" spans="1:37" s="1564" customFormat="1" ht="11.45" customHeight="1">
      <c r="A238" s="914"/>
      <c r="B238" s="1559"/>
      <c r="C238" s="1559"/>
      <c r="D238" s="287"/>
      <c r="P238" s="2326"/>
      <c r="Q238" s="2326"/>
      <c r="R238" s="2326"/>
      <c r="S238" s="2326"/>
      <c r="T238" s="2326"/>
      <c r="U238" s="2327"/>
      <c r="V238" s="2327"/>
      <c r="W238" s="2327"/>
      <c r="X238" s="2327"/>
      <c r="Y238" s="1083"/>
      <c r="Z238" s="480"/>
      <c r="AA238" s="1083"/>
      <c r="AB238" s="1083"/>
      <c r="AC238" s="1083"/>
      <c r="AD238" s="1083"/>
      <c r="AE238" s="1083"/>
      <c r="AF238" s="1555"/>
      <c r="AG238" s="502"/>
      <c r="AH238" s="502"/>
      <c r="AI238" s="502"/>
      <c r="AJ238" s="502"/>
      <c r="AK238" s="1564">
        <v>11</v>
      </c>
    </row>
    <row r="239" spans="1:37" s="1564" customFormat="1" ht="11.45" customHeight="1">
      <c r="A239" s="914"/>
      <c r="B239" s="1559"/>
      <c r="C239" s="1559"/>
      <c r="D239" s="287"/>
      <c r="P239" s="2326"/>
      <c r="Q239" s="2326"/>
      <c r="R239" s="2326"/>
      <c r="S239" s="2326"/>
      <c r="T239" s="2326"/>
      <c r="U239" s="2327"/>
      <c r="V239" s="2327"/>
      <c r="W239" s="2327"/>
      <c r="X239" s="2327"/>
      <c r="Y239" s="1083"/>
      <c r="Z239" s="480"/>
      <c r="AA239" s="1083"/>
      <c r="AB239" s="1083"/>
      <c r="AC239" s="1083"/>
      <c r="AD239" s="1083"/>
      <c r="AE239" s="1083"/>
      <c r="AF239" s="1555"/>
      <c r="AG239" s="502"/>
      <c r="AH239" s="502"/>
      <c r="AI239" s="502"/>
      <c r="AJ239" s="502"/>
      <c r="AK239" s="1564">
        <v>11</v>
      </c>
    </row>
    <row r="240" spans="1:37" s="1564" customFormat="1" ht="11.45" customHeight="1">
      <c r="A240" s="914"/>
      <c r="B240" s="1559"/>
      <c r="C240" s="1559"/>
      <c r="D240" s="287"/>
      <c r="P240" s="2326"/>
      <c r="Q240" s="2326"/>
      <c r="R240" s="2326"/>
      <c r="S240" s="2326"/>
      <c r="T240" s="2326"/>
      <c r="U240" s="2327"/>
      <c r="V240" s="2327"/>
      <c r="W240" s="2327"/>
      <c r="X240" s="2327"/>
      <c r="Y240" s="1083"/>
      <c r="Z240" s="480"/>
      <c r="AA240" s="1083"/>
      <c r="AB240" s="1083"/>
      <c r="AC240" s="1083"/>
      <c r="AD240" s="1083"/>
      <c r="AE240" s="1083"/>
      <c r="AF240" s="1555"/>
      <c r="AG240" s="502"/>
      <c r="AH240" s="502"/>
      <c r="AI240" s="502"/>
      <c r="AJ240" s="502"/>
      <c r="AK240" s="1564">
        <v>11</v>
      </c>
    </row>
    <row r="241" spans="1:37" s="1564" customFormat="1" ht="11.45" customHeight="1">
      <c r="A241" s="914"/>
      <c r="B241" s="1559"/>
      <c r="C241" s="1559"/>
      <c r="D241" s="287"/>
      <c r="P241" s="2326"/>
      <c r="Q241" s="2326"/>
      <c r="R241" s="2326"/>
      <c r="S241" s="2326"/>
      <c r="T241" s="2326"/>
      <c r="U241" s="2327"/>
      <c r="V241" s="2327"/>
      <c r="W241" s="2327"/>
      <c r="X241" s="2327"/>
      <c r="Y241" s="1083"/>
      <c r="Z241" s="480"/>
      <c r="AA241" s="1083"/>
      <c r="AB241" s="1083"/>
      <c r="AC241" s="1083"/>
      <c r="AD241" s="1083"/>
      <c r="AE241" s="1083"/>
      <c r="AF241" s="1555"/>
      <c r="AG241" s="502"/>
      <c r="AH241" s="502"/>
      <c r="AI241" s="502"/>
      <c r="AJ241" s="502"/>
      <c r="AK241" s="1564">
        <v>11</v>
      </c>
    </row>
    <row r="242" spans="1:37" s="1564" customFormat="1" ht="11.45" customHeight="1">
      <c r="A242" s="914"/>
      <c r="B242" s="1559"/>
      <c r="C242" s="1559"/>
      <c r="D242" s="287"/>
      <c r="P242" s="2326"/>
      <c r="Q242" s="2326"/>
      <c r="R242" s="2326"/>
      <c r="S242" s="2326"/>
      <c r="T242" s="2326"/>
      <c r="U242" s="2327"/>
      <c r="V242" s="2327"/>
      <c r="W242" s="2327"/>
      <c r="X242" s="2327"/>
      <c r="Y242" s="1083"/>
      <c r="Z242" s="480"/>
      <c r="AA242" s="1083"/>
      <c r="AB242" s="1083"/>
      <c r="AC242" s="1083"/>
      <c r="AD242" s="1083"/>
      <c r="AE242" s="1083"/>
      <c r="AF242" s="1555"/>
      <c r="AG242" s="502"/>
      <c r="AH242" s="502"/>
      <c r="AI242" s="502"/>
      <c r="AJ242" s="502"/>
      <c r="AK242" s="1564">
        <v>11</v>
      </c>
    </row>
    <row r="243" spans="1:37" s="1564" customFormat="1" ht="11.45" customHeight="1">
      <c r="A243" s="914"/>
      <c r="B243" s="1559"/>
      <c r="C243" s="1559"/>
      <c r="D243" s="287"/>
      <c r="P243" s="2326"/>
      <c r="Q243" s="2326"/>
      <c r="R243" s="2326"/>
      <c r="S243" s="2326"/>
      <c r="T243" s="2326"/>
      <c r="U243" s="2327"/>
      <c r="V243" s="2327"/>
      <c r="W243" s="2327"/>
      <c r="X243" s="2327"/>
      <c r="Y243" s="1083"/>
      <c r="Z243" s="480"/>
      <c r="AA243" s="1083"/>
      <c r="AB243" s="1083"/>
      <c r="AC243" s="1083"/>
      <c r="AD243" s="1083"/>
      <c r="AE243" s="1083"/>
      <c r="AF243" s="1555"/>
      <c r="AG243" s="502"/>
      <c r="AH243" s="502"/>
      <c r="AI243" s="502"/>
      <c r="AJ243" s="502"/>
      <c r="AK243" s="1564">
        <v>11</v>
      </c>
    </row>
    <row r="244" spans="1:37" s="1564" customFormat="1" ht="11.45" customHeight="1">
      <c r="A244" s="914"/>
      <c r="B244" s="1559"/>
      <c r="C244" s="1559"/>
      <c r="D244" s="287"/>
      <c r="P244" s="2326"/>
      <c r="Q244" s="2326"/>
      <c r="R244" s="2326"/>
      <c r="S244" s="2326"/>
      <c r="T244" s="2326"/>
      <c r="U244" s="2327"/>
      <c r="V244" s="2327"/>
      <c r="W244" s="2327"/>
      <c r="X244" s="2327"/>
      <c r="Y244" s="1083"/>
      <c r="Z244" s="480"/>
      <c r="AA244" s="1083"/>
      <c r="AB244" s="1083"/>
      <c r="AC244" s="1083"/>
      <c r="AD244" s="1083"/>
      <c r="AE244" s="1083"/>
      <c r="AF244" s="1555"/>
      <c r="AG244" s="502"/>
      <c r="AH244" s="502"/>
      <c r="AI244" s="502"/>
      <c r="AJ244" s="502"/>
      <c r="AK244" s="1564">
        <v>11</v>
      </c>
    </row>
    <row r="245" spans="1:37" s="1564" customFormat="1" ht="11.45" customHeight="1">
      <c r="A245" s="914"/>
      <c r="B245" s="1559"/>
      <c r="C245" s="1559"/>
      <c r="D245" s="287"/>
      <c r="P245" s="2326"/>
      <c r="Q245" s="2326"/>
      <c r="R245" s="2326"/>
      <c r="S245" s="2326"/>
      <c r="T245" s="2326"/>
      <c r="U245" s="2327"/>
      <c r="V245" s="2327"/>
      <c r="W245" s="2327"/>
      <c r="X245" s="2327"/>
      <c r="Y245" s="1083"/>
      <c r="Z245" s="480"/>
      <c r="AA245" s="1083"/>
      <c r="AB245" s="1083"/>
      <c r="AC245" s="1083"/>
      <c r="AD245" s="1083"/>
      <c r="AE245" s="1083"/>
      <c r="AF245" s="1555"/>
      <c r="AG245" s="502"/>
      <c r="AH245" s="502"/>
      <c r="AI245" s="502"/>
      <c r="AJ245" s="502"/>
      <c r="AK245" s="1564">
        <v>11</v>
      </c>
    </row>
    <row r="246" spans="1:37" s="1564" customFormat="1" ht="11.45" customHeight="1">
      <c r="A246" s="914"/>
      <c r="B246" s="1559"/>
      <c r="C246" s="1559"/>
      <c r="D246" s="287"/>
      <c r="P246" s="2326"/>
      <c r="Q246" s="2326"/>
      <c r="R246" s="2326"/>
      <c r="S246" s="2326"/>
      <c r="T246" s="2326"/>
      <c r="U246" s="2327"/>
      <c r="V246" s="2327"/>
      <c r="W246" s="2327"/>
      <c r="X246" s="2327"/>
      <c r="Y246" s="1083"/>
      <c r="Z246" s="480"/>
      <c r="AA246" s="1083"/>
      <c r="AB246" s="1083"/>
      <c r="AC246" s="1083"/>
      <c r="AD246" s="1083"/>
      <c r="AE246" s="1083"/>
      <c r="AF246" s="1555"/>
      <c r="AG246" s="502"/>
      <c r="AH246" s="502"/>
      <c r="AI246" s="502"/>
      <c r="AJ246" s="502"/>
      <c r="AK246" s="1564">
        <v>11</v>
      </c>
    </row>
    <row r="247" spans="1:37" s="1564" customFormat="1" ht="11.45" customHeight="1">
      <c r="A247" s="914"/>
      <c r="B247" s="1559"/>
      <c r="C247" s="1559"/>
      <c r="D247" s="287"/>
      <c r="P247" s="2326"/>
      <c r="Q247" s="2326"/>
      <c r="R247" s="2326"/>
      <c r="S247" s="2326"/>
      <c r="T247" s="2326"/>
      <c r="U247" s="2327"/>
      <c r="V247" s="2327"/>
      <c r="W247" s="2327"/>
      <c r="X247" s="2327"/>
      <c r="Y247" s="1083"/>
      <c r="Z247" s="480"/>
      <c r="AA247" s="1083"/>
      <c r="AB247" s="1083"/>
      <c r="AC247" s="1083"/>
      <c r="AD247" s="1083"/>
      <c r="AE247" s="1083"/>
      <c r="AF247" s="1555"/>
      <c r="AG247" s="502"/>
      <c r="AH247" s="502"/>
      <c r="AI247" s="502"/>
      <c r="AJ247" s="502"/>
      <c r="AK247" s="1564">
        <v>11</v>
      </c>
    </row>
    <row r="248" spans="1:37" s="1564" customFormat="1" ht="11.45" customHeight="1">
      <c r="A248" s="914"/>
      <c r="B248" s="1559"/>
      <c r="C248" s="1559"/>
      <c r="D248" s="287"/>
      <c r="P248" s="2326"/>
      <c r="Q248" s="2326"/>
      <c r="R248" s="2326"/>
      <c r="S248" s="2326"/>
      <c r="T248" s="2326"/>
      <c r="U248" s="2327"/>
      <c r="V248" s="2327"/>
      <c r="W248" s="2327"/>
      <c r="X248" s="2327"/>
      <c r="Y248" s="1083"/>
      <c r="Z248" s="480"/>
      <c r="AA248" s="1083"/>
      <c r="AB248" s="1083"/>
      <c r="AC248" s="1083"/>
      <c r="AD248" s="1083"/>
      <c r="AE248" s="1083"/>
      <c r="AF248" s="1555"/>
      <c r="AG248" s="502"/>
      <c r="AH248" s="502"/>
      <c r="AI248" s="502"/>
      <c r="AJ248" s="502"/>
      <c r="AK248" s="1564">
        <v>11</v>
      </c>
    </row>
    <row r="249" spans="1:37" s="1564" customFormat="1" ht="11.45" customHeight="1">
      <c r="A249" s="914"/>
      <c r="B249" s="1559"/>
      <c r="C249" s="1559"/>
      <c r="D249" s="287"/>
      <c r="P249" s="2326"/>
      <c r="Q249" s="2326"/>
      <c r="R249" s="2326"/>
      <c r="S249" s="2326"/>
      <c r="T249" s="2326"/>
      <c r="U249" s="2327"/>
      <c r="V249" s="2327"/>
      <c r="W249" s="2327"/>
      <c r="X249" s="2327"/>
      <c r="Y249" s="1083"/>
      <c r="Z249" s="480"/>
      <c r="AA249" s="1083"/>
      <c r="AB249" s="1083"/>
      <c r="AC249" s="1083"/>
      <c r="AD249" s="1083"/>
      <c r="AE249" s="1083"/>
      <c r="AF249" s="1555"/>
      <c r="AG249" s="502"/>
      <c r="AH249" s="502"/>
      <c r="AI249" s="502"/>
      <c r="AJ249" s="502"/>
      <c r="AK249" s="1564">
        <v>11</v>
      </c>
    </row>
    <row r="250" spans="1:37" s="1564" customFormat="1" ht="11.45" customHeight="1">
      <c r="A250" s="914"/>
      <c r="B250" s="1559"/>
      <c r="C250" s="1559"/>
      <c r="D250" s="287"/>
      <c r="P250" s="2326"/>
      <c r="Q250" s="2326"/>
      <c r="R250" s="2326"/>
      <c r="S250" s="2326"/>
      <c r="T250" s="2326"/>
      <c r="U250" s="2327"/>
      <c r="V250" s="2327"/>
      <c r="W250" s="2327"/>
      <c r="X250" s="2327"/>
      <c r="Y250" s="1083"/>
      <c r="Z250" s="480"/>
      <c r="AA250" s="1083"/>
      <c r="AB250" s="1083"/>
      <c r="AC250" s="1083"/>
      <c r="AD250" s="1083"/>
      <c r="AE250" s="1083"/>
      <c r="AF250" s="1555"/>
      <c r="AG250" s="502"/>
      <c r="AH250" s="502"/>
      <c r="AI250" s="502"/>
      <c r="AJ250" s="502"/>
      <c r="AK250" s="1564">
        <v>11</v>
      </c>
    </row>
    <row r="251" spans="1:37" s="1564" customFormat="1" ht="11.45" customHeight="1">
      <c r="A251" s="914"/>
      <c r="B251" s="1559"/>
      <c r="C251" s="1559"/>
      <c r="D251" s="287"/>
      <c r="P251" s="2326"/>
      <c r="Q251" s="2326"/>
      <c r="R251" s="2326"/>
      <c r="S251" s="2326"/>
      <c r="T251" s="2326"/>
      <c r="U251" s="2327"/>
      <c r="V251" s="2327"/>
      <c r="W251" s="2327"/>
      <c r="X251" s="2327"/>
      <c r="Y251" s="1083"/>
      <c r="Z251" s="480"/>
      <c r="AA251" s="1083"/>
      <c r="AB251" s="1083"/>
      <c r="AC251" s="1083"/>
      <c r="AD251" s="1083"/>
      <c r="AE251" s="1083"/>
      <c r="AF251" s="1555"/>
      <c r="AG251" s="502"/>
      <c r="AH251" s="502"/>
      <c r="AI251" s="502"/>
      <c r="AJ251" s="502"/>
      <c r="AK251" s="1564">
        <v>11</v>
      </c>
    </row>
    <row r="252" spans="1:37" s="1564" customFormat="1" ht="11.45" customHeight="1">
      <c r="A252" s="914"/>
      <c r="B252" s="1559"/>
      <c r="C252" s="1559"/>
      <c r="D252" s="287"/>
      <c r="P252" s="2326"/>
      <c r="Q252" s="2326"/>
      <c r="R252" s="2326"/>
      <c r="S252" s="2326"/>
      <c r="T252" s="2326"/>
      <c r="U252" s="2327"/>
      <c r="V252" s="2327"/>
      <c r="W252" s="2327"/>
      <c r="X252" s="2327"/>
      <c r="Y252" s="1083"/>
      <c r="Z252" s="480"/>
      <c r="AA252" s="1083"/>
      <c r="AB252" s="1083"/>
      <c r="AC252" s="1083"/>
      <c r="AD252" s="1083"/>
      <c r="AE252" s="1083"/>
      <c r="AF252" s="1555"/>
      <c r="AG252" s="502"/>
      <c r="AH252" s="502"/>
      <c r="AI252" s="502"/>
      <c r="AJ252" s="502"/>
      <c r="AK252" s="1564">
        <v>11</v>
      </c>
    </row>
    <row r="253" spans="1:37" s="1564" customFormat="1" ht="11.45" customHeight="1">
      <c r="A253" s="914"/>
      <c r="B253" s="1559"/>
      <c r="C253" s="1559"/>
      <c r="D253" s="287"/>
      <c r="P253" s="2326"/>
      <c r="Q253" s="2326"/>
      <c r="R253" s="2326"/>
      <c r="S253" s="2326"/>
      <c r="T253" s="2326"/>
      <c r="U253" s="2327"/>
      <c r="V253" s="2327"/>
      <c r="W253" s="2327"/>
      <c r="X253" s="2327"/>
      <c r="Y253" s="1083"/>
      <c r="Z253" s="480"/>
      <c r="AA253" s="1083"/>
      <c r="AB253" s="1083"/>
      <c r="AC253" s="1083"/>
      <c r="AD253" s="1083"/>
      <c r="AE253" s="1083"/>
      <c r="AF253" s="1555"/>
      <c r="AG253" s="502"/>
      <c r="AH253" s="502"/>
      <c r="AI253" s="502"/>
      <c r="AJ253" s="502"/>
      <c r="AK253" s="1564">
        <v>11</v>
      </c>
    </row>
    <row r="254" spans="1:37" s="1564" customFormat="1" ht="11.45" customHeight="1">
      <c r="A254" s="914"/>
      <c r="B254" s="1559"/>
      <c r="C254" s="1559"/>
      <c r="D254" s="287"/>
      <c r="P254" s="2326"/>
      <c r="Q254" s="2326"/>
      <c r="R254" s="2326"/>
      <c r="S254" s="2326"/>
      <c r="T254" s="2326"/>
      <c r="U254" s="2327"/>
      <c r="V254" s="2327"/>
      <c r="W254" s="2327"/>
      <c r="X254" s="2327"/>
      <c r="Y254" s="1083"/>
      <c r="Z254" s="480"/>
      <c r="AA254" s="1083"/>
      <c r="AB254" s="1083"/>
      <c r="AC254" s="1083"/>
      <c r="AD254" s="1083"/>
      <c r="AE254" s="1083"/>
      <c r="AF254" s="1555"/>
      <c r="AG254" s="502"/>
      <c r="AH254" s="502"/>
      <c r="AI254" s="502"/>
      <c r="AJ254" s="502"/>
      <c r="AK254" s="1564">
        <v>11</v>
      </c>
    </row>
    <row r="255" spans="1:37" s="1564" customFormat="1" ht="11.45" customHeight="1">
      <c r="A255" s="914"/>
      <c r="B255" s="1559"/>
      <c r="C255" s="1559"/>
      <c r="D255" s="287"/>
      <c r="P255" s="2326"/>
      <c r="Q255" s="2326"/>
      <c r="R255" s="2326"/>
      <c r="S255" s="2326"/>
      <c r="T255" s="2326"/>
      <c r="U255" s="2327"/>
      <c r="V255" s="2327"/>
      <c r="W255" s="2327"/>
      <c r="X255" s="2327"/>
      <c r="Y255" s="1083"/>
      <c r="Z255" s="480"/>
      <c r="AA255" s="1083"/>
      <c r="AB255" s="1083"/>
      <c r="AC255" s="1083"/>
      <c r="AD255" s="1083"/>
      <c r="AE255" s="1083"/>
      <c r="AF255" s="1555"/>
      <c r="AG255" s="502"/>
      <c r="AH255" s="502"/>
      <c r="AI255" s="502"/>
      <c r="AJ255" s="502"/>
      <c r="AK255" s="1564">
        <v>11</v>
      </c>
    </row>
    <row r="256" spans="1:37" s="1564" customFormat="1" ht="11.45" customHeight="1">
      <c r="A256" s="914"/>
      <c r="B256" s="1559"/>
      <c r="C256" s="1559"/>
      <c r="D256" s="287"/>
      <c r="P256" s="2326"/>
      <c r="Q256" s="2326"/>
      <c r="R256" s="2326"/>
      <c r="S256" s="2326"/>
      <c r="T256" s="2326"/>
      <c r="U256" s="2327"/>
      <c r="V256" s="2327"/>
      <c r="W256" s="2327"/>
      <c r="X256" s="2327"/>
      <c r="Y256" s="1083"/>
      <c r="Z256" s="480"/>
      <c r="AA256" s="1083"/>
      <c r="AB256" s="1083"/>
      <c r="AC256" s="1083"/>
      <c r="AD256" s="1083"/>
      <c r="AE256" s="1083"/>
      <c r="AF256" s="1555"/>
      <c r="AG256" s="502"/>
      <c r="AH256" s="502"/>
      <c r="AI256" s="502"/>
      <c r="AJ256" s="502"/>
      <c r="AK256" s="1564">
        <v>11</v>
      </c>
    </row>
    <row r="257" spans="1:37" s="1564" customFormat="1" ht="11.45" customHeight="1">
      <c r="A257" s="914"/>
      <c r="B257" s="1559"/>
      <c r="C257" s="1559"/>
      <c r="D257" s="287"/>
      <c r="P257" s="2326"/>
      <c r="Q257" s="2326"/>
      <c r="R257" s="2326"/>
      <c r="S257" s="2326"/>
      <c r="T257" s="2326"/>
      <c r="U257" s="2327"/>
      <c r="V257" s="2327"/>
      <c r="W257" s="2327"/>
      <c r="X257" s="2327"/>
      <c r="Y257" s="1083"/>
      <c r="Z257" s="480"/>
      <c r="AA257" s="1083"/>
      <c r="AB257" s="1083"/>
      <c r="AC257" s="1083"/>
      <c r="AD257" s="1083"/>
      <c r="AE257" s="1083"/>
      <c r="AF257" s="1555"/>
      <c r="AG257" s="502"/>
      <c r="AH257" s="502"/>
      <c r="AI257" s="502"/>
      <c r="AJ257" s="502"/>
      <c r="AK257" s="1564">
        <v>11</v>
      </c>
    </row>
    <row r="258" spans="1:37" s="1564" customFormat="1" ht="11.45" customHeight="1">
      <c r="A258" s="914"/>
      <c r="B258" s="1559"/>
      <c r="C258" s="1559"/>
      <c r="D258" s="287"/>
      <c r="P258" s="2326"/>
      <c r="Q258" s="2326"/>
      <c r="R258" s="2326"/>
      <c r="S258" s="2326"/>
      <c r="T258" s="2326"/>
      <c r="U258" s="2327"/>
      <c r="V258" s="2327"/>
      <c r="W258" s="2327"/>
      <c r="X258" s="2327"/>
      <c r="Y258" s="1083"/>
      <c r="Z258" s="480"/>
      <c r="AA258" s="1083"/>
      <c r="AB258" s="1083"/>
      <c r="AC258" s="1083"/>
      <c r="AD258" s="1083"/>
      <c r="AE258" s="1083"/>
      <c r="AF258" s="1555"/>
      <c r="AG258" s="502"/>
      <c r="AH258" s="502"/>
      <c r="AI258" s="502"/>
      <c r="AJ258" s="502"/>
      <c r="AK258" s="1564">
        <v>11</v>
      </c>
    </row>
    <row r="259" spans="1:37" s="1564" customFormat="1" ht="11.45" customHeight="1">
      <c r="A259" s="914"/>
      <c r="B259" s="1559"/>
      <c r="C259" s="1559"/>
      <c r="D259" s="287"/>
      <c r="P259" s="2326"/>
      <c r="Q259" s="2326"/>
      <c r="R259" s="2326"/>
      <c r="S259" s="2326"/>
      <c r="T259" s="2326"/>
      <c r="U259" s="2327"/>
      <c r="V259" s="2327"/>
      <c r="W259" s="2327"/>
      <c r="X259" s="2327"/>
      <c r="Y259" s="1083"/>
      <c r="Z259" s="480"/>
      <c r="AA259" s="1083"/>
      <c r="AB259" s="1083"/>
      <c r="AC259" s="1083"/>
      <c r="AD259" s="1083"/>
      <c r="AE259" s="1083"/>
      <c r="AF259" s="1555"/>
      <c r="AG259" s="502"/>
      <c r="AH259" s="502"/>
      <c r="AI259" s="502"/>
      <c r="AJ259" s="502"/>
      <c r="AK259" s="1564">
        <v>11</v>
      </c>
    </row>
    <row r="260" spans="1:37" s="1564" customFormat="1" ht="11.45" customHeight="1">
      <c r="A260" s="914"/>
      <c r="B260" s="1559"/>
      <c r="C260" s="1559"/>
      <c r="D260" s="287"/>
      <c r="P260" s="2326"/>
      <c r="Q260" s="2326"/>
      <c r="R260" s="2326"/>
      <c r="S260" s="2326"/>
      <c r="T260" s="2326"/>
      <c r="U260" s="2327"/>
      <c r="V260" s="2327"/>
      <c r="W260" s="2327"/>
      <c r="X260" s="2327"/>
      <c r="Y260" s="1083"/>
      <c r="Z260" s="480"/>
      <c r="AA260" s="1083"/>
      <c r="AB260" s="1083"/>
      <c r="AC260" s="1083"/>
      <c r="AD260" s="1083"/>
      <c r="AE260" s="1083"/>
      <c r="AF260" s="1555"/>
      <c r="AG260" s="502"/>
      <c r="AH260" s="502"/>
      <c r="AI260" s="502"/>
      <c r="AJ260" s="502"/>
      <c r="AK260" s="1564">
        <v>11</v>
      </c>
    </row>
    <row r="261" spans="1:37" s="1564" customFormat="1" ht="11.45" customHeight="1">
      <c r="A261" s="914"/>
      <c r="B261" s="1559"/>
      <c r="C261" s="1559"/>
      <c r="D261" s="287"/>
      <c r="P261" s="2326"/>
      <c r="Q261" s="2326"/>
      <c r="R261" s="2326"/>
      <c r="S261" s="2326"/>
      <c r="T261" s="2326"/>
      <c r="U261" s="2327"/>
      <c r="V261" s="2327"/>
      <c r="W261" s="2327"/>
      <c r="X261" s="2327"/>
      <c r="Y261" s="1083"/>
      <c r="Z261" s="480"/>
      <c r="AA261" s="1083"/>
      <c r="AB261" s="1083"/>
      <c r="AC261" s="1083"/>
      <c r="AD261" s="1083"/>
      <c r="AE261" s="1083"/>
      <c r="AF261" s="1555"/>
      <c r="AG261" s="502"/>
      <c r="AH261" s="502"/>
      <c r="AI261" s="502"/>
      <c r="AJ261" s="502"/>
      <c r="AK261" s="1564">
        <v>11</v>
      </c>
    </row>
    <row r="262" spans="1:37" s="1564" customFormat="1" ht="11.45" customHeight="1">
      <c r="A262" s="914"/>
      <c r="B262" s="1559"/>
      <c r="C262" s="1559"/>
      <c r="D262" s="287"/>
      <c r="P262" s="2326"/>
      <c r="Q262" s="2326"/>
      <c r="R262" s="2326"/>
      <c r="S262" s="2326"/>
      <c r="T262" s="2326"/>
      <c r="U262" s="2327"/>
      <c r="V262" s="2327"/>
      <c r="W262" s="2327"/>
      <c r="X262" s="2327"/>
      <c r="Y262" s="1083"/>
      <c r="Z262" s="480"/>
      <c r="AA262" s="1083"/>
      <c r="AB262" s="1083"/>
      <c r="AC262" s="1083"/>
      <c r="AD262" s="1083"/>
      <c r="AE262" s="1083"/>
      <c r="AF262" s="1555"/>
      <c r="AG262" s="502"/>
      <c r="AH262" s="502"/>
      <c r="AI262" s="502"/>
      <c r="AJ262" s="502"/>
      <c r="AK262" s="1564">
        <v>11</v>
      </c>
    </row>
    <row r="263" spans="1:37" s="1564" customFormat="1" ht="11.45" customHeight="1">
      <c r="A263" s="914"/>
      <c r="B263" s="1559"/>
      <c r="C263" s="1559"/>
      <c r="D263" s="287"/>
      <c r="P263" s="2326"/>
      <c r="Q263" s="2326"/>
      <c r="R263" s="2326"/>
      <c r="S263" s="2326"/>
      <c r="T263" s="2326"/>
      <c r="U263" s="2327"/>
      <c r="V263" s="2327"/>
      <c r="W263" s="2327"/>
      <c r="X263" s="2327"/>
      <c r="Y263" s="1083"/>
      <c r="Z263" s="480"/>
      <c r="AA263" s="1083"/>
      <c r="AB263" s="1083"/>
      <c r="AC263" s="1083"/>
      <c r="AD263" s="1083"/>
      <c r="AE263" s="1083"/>
      <c r="AF263" s="1555"/>
      <c r="AG263" s="502"/>
      <c r="AH263" s="502"/>
      <c r="AI263" s="502"/>
      <c r="AJ263" s="502"/>
      <c r="AK263" s="1564">
        <v>11</v>
      </c>
    </row>
    <row r="264" spans="1:37" s="1564" customFormat="1" ht="11.45" customHeight="1">
      <c r="A264" s="914"/>
      <c r="B264" s="1559"/>
      <c r="C264" s="1559"/>
      <c r="D264" s="287"/>
      <c r="P264" s="2326"/>
      <c r="Q264" s="2326"/>
      <c r="R264" s="2326"/>
      <c r="S264" s="2326"/>
      <c r="T264" s="2326"/>
      <c r="U264" s="2327"/>
      <c r="V264" s="2327"/>
      <c r="W264" s="2327"/>
      <c r="X264" s="2327"/>
      <c r="Y264" s="1083"/>
      <c r="Z264" s="480"/>
      <c r="AA264" s="1083"/>
      <c r="AB264" s="1083"/>
      <c r="AC264" s="1083"/>
      <c r="AD264" s="1083"/>
      <c r="AE264" s="1083"/>
      <c r="AF264" s="1555"/>
      <c r="AG264" s="502"/>
      <c r="AH264" s="502"/>
      <c r="AI264" s="502"/>
      <c r="AJ264" s="502"/>
      <c r="AK264" s="1564">
        <v>11</v>
      </c>
    </row>
    <row r="265" spans="1:37" s="1564" customFormat="1" ht="11.45" customHeight="1">
      <c r="A265" s="914"/>
      <c r="B265" s="1559"/>
      <c r="C265" s="1559"/>
      <c r="D265" s="287"/>
      <c r="P265" s="2326"/>
      <c r="Q265" s="2326"/>
      <c r="R265" s="2326"/>
      <c r="S265" s="2326"/>
      <c r="T265" s="2326"/>
      <c r="U265" s="2327"/>
      <c r="V265" s="2327"/>
      <c r="W265" s="2327"/>
      <c r="X265" s="2327"/>
      <c r="Y265" s="1083"/>
      <c r="Z265" s="480"/>
      <c r="AA265" s="1083"/>
      <c r="AB265" s="1083"/>
      <c r="AC265" s="1083"/>
      <c r="AD265" s="1083"/>
      <c r="AE265" s="1083"/>
      <c r="AF265" s="1555"/>
      <c r="AG265" s="502"/>
      <c r="AH265" s="502"/>
      <c r="AI265" s="502"/>
      <c r="AJ265" s="502"/>
      <c r="AK265" s="1564">
        <v>11</v>
      </c>
    </row>
    <row r="266" spans="1:37" s="1564" customFormat="1" ht="11.45" customHeight="1">
      <c r="A266" s="914"/>
      <c r="B266" s="1559"/>
      <c r="C266" s="1559"/>
      <c r="D266" s="287"/>
      <c r="P266" s="2326"/>
      <c r="Q266" s="2326"/>
      <c r="R266" s="2326"/>
      <c r="S266" s="2326"/>
      <c r="T266" s="2326"/>
      <c r="U266" s="2327"/>
      <c r="V266" s="2327"/>
      <c r="W266" s="2327"/>
      <c r="X266" s="2327"/>
      <c r="Y266" s="1083"/>
      <c r="Z266" s="480"/>
      <c r="AA266" s="1083"/>
      <c r="AB266" s="1083"/>
      <c r="AC266" s="1083"/>
      <c r="AD266" s="1083"/>
      <c r="AE266" s="1083"/>
      <c r="AF266" s="1555"/>
      <c r="AG266" s="502"/>
      <c r="AH266" s="502"/>
      <c r="AI266" s="502"/>
      <c r="AJ266" s="502"/>
      <c r="AK266" s="1564">
        <v>11</v>
      </c>
    </row>
    <row r="267" spans="1:37" s="1564" customFormat="1" ht="11.45" customHeight="1">
      <c r="A267" s="914"/>
      <c r="B267" s="1559"/>
      <c r="C267" s="1559"/>
      <c r="D267" s="287"/>
      <c r="P267" s="2326"/>
      <c r="Q267" s="2326"/>
      <c r="R267" s="2326"/>
      <c r="S267" s="2326"/>
      <c r="T267" s="2326"/>
      <c r="U267" s="2327"/>
      <c r="V267" s="2327"/>
      <c r="W267" s="2327"/>
      <c r="X267" s="2327"/>
      <c r="Y267" s="1083"/>
      <c r="Z267" s="480"/>
      <c r="AA267" s="1083"/>
      <c r="AB267" s="1083"/>
      <c r="AC267" s="1083"/>
      <c r="AD267" s="1083"/>
      <c r="AE267" s="1083"/>
      <c r="AF267" s="1555"/>
      <c r="AG267" s="502"/>
      <c r="AH267" s="502"/>
      <c r="AI267" s="502"/>
      <c r="AJ267" s="502"/>
      <c r="AK267" s="1564">
        <v>11</v>
      </c>
    </row>
    <row r="268" spans="1:37" s="1564" customFormat="1" ht="11.45" customHeight="1">
      <c r="A268" s="914"/>
      <c r="B268" s="1559"/>
      <c r="C268" s="1559"/>
      <c r="D268" s="287"/>
      <c r="P268" s="2326"/>
      <c r="Q268" s="2326"/>
      <c r="R268" s="2326"/>
      <c r="S268" s="2326"/>
      <c r="T268" s="2326"/>
      <c r="U268" s="2327"/>
      <c r="V268" s="2327"/>
      <c r="W268" s="2327"/>
      <c r="X268" s="2327"/>
      <c r="Y268" s="1083"/>
      <c r="Z268" s="480"/>
      <c r="AA268" s="1083"/>
      <c r="AB268" s="1083"/>
      <c r="AC268" s="1083"/>
      <c r="AD268" s="1083"/>
      <c r="AE268" s="1083"/>
      <c r="AF268" s="1555"/>
      <c r="AG268" s="502"/>
      <c r="AH268" s="502"/>
      <c r="AI268" s="502"/>
      <c r="AJ268" s="502"/>
      <c r="AK268" s="1564">
        <v>11</v>
      </c>
    </row>
    <row r="269" spans="1:37" s="1564" customFormat="1" ht="11.45" customHeight="1">
      <c r="A269" s="914"/>
      <c r="B269" s="1559"/>
      <c r="C269" s="1559"/>
      <c r="D269" s="287"/>
      <c r="P269" s="2326"/>
      <c r="Q269" s="2326"/>
      <c r="R269" s="2326"/>
      <c r="S269" s="2326"/>
      <c r="T269" s="2326"/>
      <c r="U269" s="2327"/>
      <c r="V269" s="2327"/>
      <c r="W269" s="2327"/>
      <c r="X269" s="2327"/>
      <c r="Y269" s="1083"/>
      <c r="Z269" s="480"/>
      <c r="AA269" s="1083"/>
      <c r="AB269" s="1083"/>
      <c r="AC269" s="1083"/>
      <c r="AD269" s="1083"/>
      <c r="AE269" s="1083"/>
      <c r="AF269" s="1555"/>
      <c r="AG269" s="502"/>
      <c r="AH269" s="502"/>
      <c r="AI269" s="502"/>
      <c r="AJ269" s="502"/>
      <c r="AK269" s="1564">
        <v>11</v>
      </c>
    </row>
    <row r="270" spans="1:37" s="1564" customFormat="1" ht="11.45" customHeight="1">
      <c r="A270" s="914"/>
      <c r="B270" s="1559"/>
      <c r="C270" s="1559"/>
      <c r="D270" s="287"/>
      <c r="P270" s="2326"/>
      <c r="Q270" s="2326"/>
      <c r="R270" s="2326"/>
      <c r="S270" s="2326"/>
      <c r="T270" s="2326"/>
      <c r="U270" s="2327"/>
      <c r="V270" s="2327"/>
      <c r="W270" s="2327"/>
      <c r="X270" s="2327"/>
      <c r="Y270" s="1083"/>
      <c r="Z270" s="480"/>
      <c r="AA270" s="1083"/>
      <c r="AB270" s="1083"/>
      <c r="AC270" s="1083"/>
      <c r="AD270" s="1083"/>
      <c r="AE270" s="1083"/>
      <c r="AF270" s="1555"/>
      <c r="AG270" s="502"/>
      <c r="AH270" s="502"/>
      <c r="AI270" s="502"/>
      <c r="AJ270" s="502"/>
      <c r="AK270" s="1564">
        <v>11</v>
      </c>
    </row>
    <row r="271" spans="1:37" s="1564" customFormat="1" ht="11.45" customHeight="1">
      <c r="A271" s="914"/>
      <c r="B271" s="1559"/>
      <c r="C271" s="1559"/>
      <c r="D271" s="287"/>
      <c r="P271" s="2326"/>
      <c r="Q271" s="2326"/>
      <c r="R271" s="2326"/>
      <c r="S271" s="2326"/>
      <c r="T271" s="2326"/>
      <c r="U271" s="2327"/>
      <c r="V271" s="2327"/>
      <c r="W271" s="2327"/>
      <c r="X271" s="2327"/>
      <c r="Y271" s="1083"/>
      <c r="Z271" s="480"/>
      <c r="AA271" s="1083"/>
      <c r="AB271" s="1083"/>
      <c r="AC271" s="1083"/>
      <c r="AD271" s="1083"/>
      <c r="AE271" s="1083"/>
      <c r="AF271" s="1555"/>
      <c r="AG271" s="502"/>
      <c r="AH271" s="502"/>
      <c r="AI271" s="502"/>
      <c r="AJ271" s="502"/>
      <c r="AK271" s="1564">
        <v>11</v>
      </c>
    </row>
    <row r="272" spans="1:37" s="1564" customFormat="1" ht="11.45" customHeight="1">
      <c r="A272" s="914"/>
      <c r="B272" s="1559"/>
      <c r="C272" s="1559"/>
      <c r="D272" s="287"/>
      <c r="P272" s="2326"/>
      <c r="Q272" s="2326"/>
      <c r="R272" s="2326"/>
      <c r="S272" s="2326"/>
      <c r="T272" s="2326"/>
      <c r="U272" s="2327"/>
      <c r="V272" s="2327"/>
      <c r="W272" s="2327"/>
      <c r="X272" s="2327"/>
      <c r="Y272" s="1083"/>
      <c r="Z272" s="480"/>
      <c r="AA272" s="1083"/>
      <c r="AB272" s="1083"/>
      <c r="AC272" s="1083"/>
      <c r="AD272" s="1083"/>
      <c r="AE272" s="1083"/>
      <c r="AF272" s="1555"/>
      <c r="AG272" s="502"/>
      <c r="AH272" s="502"/>
      <c r="AI272" s="502"/>
      <c r="AJ272" s="502"/>
      <c r="AK272" s="1564">
        <v>11</v>
      </c>
    </row>
    <row r="273" spans="1:37" s="1564" customFormat="1" ht="11.45" customHeight="1">
      <c r="A273" s="914"/>
      <c r="B273" s="1559"/>
      <c r="C273" s="1559"/>
      <c r="D273" s="287"/>
      <c r="P273" s="2326"/>
      <c r="Q273" s="2326"/>
      <c r="R273" s="2326"/>
      <c r="S273" s="2326"/>
      <c r="T273" s="2326"/>
      <c r="U273" s="2327"/>
      <c r="V273" s="2327"/>
      <c r="W273" s="2327"/>
      <c r="X273" s="2327"/>
      <c r="Y273" s="1083"/>
      <c r="Z273" s="480"/>
      <c r="AA273" s="1083"/>
      <c r="AB273" s="1083"/>
      <c r="AC273" s="1083"/>
      <c r="AD273" s="1083"/>
      <c r="AE273" s="1083"/>
      <c r="AF273" s="1555"/>
      <c r="AG273" s="502"/>
      <c r="AH273" s="502"/>
      <c r="AI273" s="502"/>
      <c r="AJ273" s="502"/>
      <c r="AK273" s="1564">
        <v>11</v>
      </c>
    </row>
    <row r="274" spans="1:37" s="1564" customFormat="1" ht="11.45" customHeight="1">
      <c r="A274" s="914"/>
      <c r="B274" s="1559"/>
      <c r="C274" s="1559"/>
      <c r="D274" s="287"/>
      <c r="P274" s="2326"/>
      <c r="Q274" s="2326"/>
      <c r="R274" s="2326"/>
      <c r="S274" s="2326"/>
      <c r="T274" s="2326"/>
      <c r="U274" s="2327"/>
      <c r="V274" s="2327"/>
      <c r="W274" s="2327"/>
      <c r="X274" s="2327"/>
      <c r="Y274" s="1083"/>
      <c r="Z274" s="480"/>
      <c r="AA274" s="1083"/>
      <c r="AB274" s="1083"/>
      <c r="AC274" s="1083"/>
      <c r="AD274" s="1083"/>
      <c r="AE274" s="1083"/>
      <c r="AF274" s="1555"/>
      <c r="AG274" s="502"/>
      <c r="AH274" s="502"/>
      <c r="AI274" s="502"/>
      <c r="AJ274" s="502"/>
      <c r="AK274" s="1564">
        <v>11</v>
      </c>
    </row>
    <row r="275" spans="1:37" s="1564" customFormat="1" ht="11.45" customHeight="1">
      <c r="A275" s="914"/>
      <c r="B275" s="1559"/>
      <c r="C275" s="1559"/>
      <c r="D275" s="287"/>
      <c r="P275" s="2326"/>
      <c r="Q275" s="2326"/>
      <c r="R275" s="2326"/>
      <c r="S275" s="2326"/>
      <c r="T275" s="2326"/>
      <c r="U275" s="2327"/>
      <c r="V275" s="2327"/>
      <c r="W275" s="2327"/>
      <c r="X275" s="2327"/>
      <c r="Y275" s="1083"/>
      <c r="Z275" s="480"/>
      <c r="AA275" s="1083"/>
      <c r="AB275" s="1083"/>
      <c r="AC275" s="1083"/>
      <c r="AD275" s="1083"/>
      <c r="AE275" s="1083"/>
      <c r="AF275" s="1555"/>
      <c r="AG275" s="502"/>
      <c r="AH275" s="502"/>
      <c r="AI275" s="502"/>
      <c r="AJ275" s="502"/>
      <c r="AK275" s="1564">
        <v>11</v>
      </c>
    </row>
    <row r="276" spans="1:37" s="1564" customFormat="1" ht="11.45" customHeight="1">
      <c r="A276" s="914"/>
      <c r="B276" s="1559"/>
      <c r="C276" s="1559"/>
      <c r="D276" s="287"/>
      <c r="P276" s="2326"/>
      <c r="Q276" s="2326"/>
      <c r="R276" s="2326"/>
      <c r="S276" s="2326"/>
      <c r="T276" s="2326"/>
      <c r="U276" s="2327"/>
      <c r="V276" s="2327"/>
      <c r="W276" s="2327"/>
      <c r="X276" s="2327"/>
      <c r="Y276" s="1083"/>
      <c r="Z276" s="480"/>
      <c r="AA276" s="1083"/>
      <c r="AB276" s="1083"/>
      <c r="AC276" s="1083"/>
      <c r="AD276" s="1083"/>
      <c r="AE276" s="1083"/>
      <c r="AF276" s="1555"/>
      <c r="AG276" s="502"/>
      <c r="AH276" s="502"/>
      <c r="AI276" s="502"/>
      <c r="AJ276" s="502"/>
      <c r="AK276" s="1564">
        <v>11</v>
      </c>
    </row>
    <row r="277" spans="1:37" s="1564" customFormat="1" ht="11.45" customHeight="1">
      <c r="A277" s="914"/>
      <c r="B277" s="1559"/>
      <c r="C277" s="1559"/>
      <c r="D277" s="287"/>
      <c r="P277" s="2326"/>
      <c r="Q277" s="2326"/>
      <c r="R277" s="2326"/>
      <c r="S277" s="2326"/>
      <c r="T277" s="2326"/>
      <c r="U277" s="2327"/>
      <c r="V277" s="2327"/>
      <c r="W277" s="2327"/>
      <c r="X277" s="2327"/>
      <c r="Y277" s="1083"/>
      <c r="Z277" s="480"/>
      <c r="AA277" s="1083"/>
      <c r="AB277" s="1083"/>
      <c r="AC277" s="1083"/>
      <c r="AD277" s="1083"/>
      <c r="AE277" s="1083"/>
      <c r="AF277" s="1555"/>
      <c r="AG277" s="502"/>
      <c r="AH277" s="502"/>
      <c r="AI277" s="502"/>
      <c r="AJ277" s="502"/>
      <c r="AK277" s="1564">
        <v>11</v>
      </c>
    </row>
    <row r="278" spans="1:37" s="1564" customFormat="1" ht="11.45" customHeight="1">
      <c r="A278" s="914"/>
      <c r="B278" s="1559"/>
      <c r="C278" s="1559"/>
      <c r="D278" s="287"/>
      <c r="P278" s="2326"/>
      <c r="Q278" s="2326"/>
      <c r="R278" s="2326"/>
      <c r="S278" s="2326"/>
      <c r="T278" s="2326"/>
      <c r="U278" s="2327"/>
      <c r="V278" s="2327"/>
      <c r="W278" s="2327"/>
      <c r="X278" s="2327"/>
      <c r="Y278" s="1083"/>
      <c r="Z278" s="480"/>
      <c r="AA278" s="1083"/>
      <c r="AB278" s="1083"/>
      <c r="AC278" s="1083"/>
      <c r="AD278" s="1083"/>
      <c r="AE278" s="1083"/>
      <c r="AF278" s="1555"/>
      <c r="AG278" s="502"/>
      <c r="AH278" s="502"/>
      <c r="AI278" s="502"/>
      <c r="AJ278" s="502"/>
      <c r="AK278" s="1564">
        <v>11</v>
      </c>
    </row>
    <row r="279" spans="1:37" s="1564" customFormat="1" ht="11.45" customHeight="1">
      <c r="A279" s="914"/>
      <c r="B279" s="1559"/>
      <c r="C279" s="1559"/>
      <c r="D279" s="287"/>
      <c r="P279" s="2326"/>
      <c r="Q279" s="2326"/>
      <c r="R279" s="2326"/>
      <c r="S279" s="2326"/>
      <c r="T279" s="2326"/>
      <c r="U279" s="2327"/>
      <c r="V279" s="2327"/>
      <c r="W279" s="2327"/>
      <c r="X279" s="2327"/>
      <c r="Y279" s="1083"/>
      <c r="Z279" s="480"/>
      <c r="AA279" s="1083"/>
      <c r="AB279" s="1083"/>
      <c r="AC279" s="1083"/>
      <c r="AD279" s="1083"/>
      <c r="AE279" s="1083"/>
      <c r="AF279" s="1555"/>
      <c r="AG279" s="502"/>
      <c r="AH279" s="502"/>
      <c r="AI279" s="502"/>
      <c r="AJ279" s="502"/>
      <c r="AK279" s="1564">
        <v>11</v>
      </c>
    </row>
    <row r="280" spans="1:37" s="1564" customFormat="1" ht="11.45" customHeight="1">
      <c r="A280" s="914"/>
      <c r="B280" s="1559"/>
      <c r="C280" s="1559"/>
      <c r="D280" s="287"/>
      <c r="P280" s="2326"/>
      <c r="Q280" s="2326"/>
      <c r="R280" s="2326"/>
      <c r="S280" s="2326"/>
      <c r="T280" s="2326"/>
      <c r="U280" s="2327"/>
      <c r="V280" s="2327"/>
      <c r="W280" s="2327"/>
      <c r="X280" s="2327"/>
      <c r="Y280" s="1083"/>
      <c r="Z280" s="480"/>
      <c r="AA280" s="1083"/>
      <c r="AB280" s="1083"/>
      <c r="AC280" s="1083"/>
      <c r="AD280" s="1083"/>
      <c r="AE280" s="1083"/>
      <c r="AF280" s="1555"/>
      <c r="AG280" s="502"/>
      <c r="AH280" s="502"/>
      <c r="AI280" s="502"/>
      <c r="AJ280" s="502"/>
      <c r="AK280" s="1564">
        <v>11</v>
      </c>
    </row>
    <row r="281" spans="1:37" s="1564" customFormat="1" ht="11.45" customHeight="1">
      <c r="A281" s="914"/>
      <c r="B281" s="1559"/>
      <c r="C281" s="1559"/>
      <c r="D281" s="287"/>
      <c r="P281" s="2326"/>
      <c r="Q281" s="2326"/>
      <c r="R281" s="2326"/>
      <c r="S281" s="2326"/>
      <c r="T281" s="2326"/>
      <c r="U281" s="2327"/>
      <c r="V281" s="2327"/>
      <c r="W281" s="2327"/>
      <c r="X281" s="2327"/>
      <c r="Y281" s="1083"/>
      <c r="Z281" s="480"/>
      <c r="AA281" s="1083"/>
      <c r="AB281" s="1083"/>
      <c r="AC281" s="1083"/>
      <c r="AD281" s="1083"/>
      <c r="AE281" s="1083"/>
      <c r="AF281" s="1555"/>
      <c r="AG281" s="502"/>
      <c r="AH281" s="502"/>
      <c r="AI281" s="502"/>
      <c r="AJ281" s="502"/>
      <c r="AK281" s="1564">
        <v>11</v>
      </c>
    </row>
    <row r="282" spans="1:37" s="1564" customFormat="1" ht="11.45" customHeight="1">
      <c r="A282" s="914"/>
      <c r="B282" s="1559"/>
      <c r="C282" s="1559"/>
      <c r="D282" s="287"/>
      <c r="P282" s="2326"/>
      <c r="Q282" s="2326"/>
      <c r="R282" s="2326"/>
      <c r="S282" s="2326"/>
      <c r="T282" s="2326"/>
      <c r="U282" s="2327"/>
      <c r="V282" s="2327"/>
      <c r="W282" s="2327"/>
      <c r="X282" s="2327"/>
      <c r="Y282" s="1083"/>
      <c r="Z282" s="480"/>
      <c r="AA282" s="1083"/>
      <c r="AB282" s="1083"/>
      <c r="AC282" s="1083"/>
      <c r="AD282" s="1083"/>
      <c r="AE282" s="1083"/>
      <c r="AF282" s="1555"/>
      <c r="AG282" s="502"/>
      <c r="AH282" s="502"/>
      <c r="AI282" s="502"/>
      <c r="AJ282" s="502"/>
      <c r="AK282" s="1564">
        <v>11</v>
      </c>
    </row>
    <row r="283" spans="1:37" s="1564" customFormat="1" ht="11.45" customHeight="1">
      <c r="A283" s="914"/>
      <c r="B283" s="1559"/>
      <c r="C283" s="1559"/>
      <c r="D283" s="287"/>
      <c r="P283" s="2326"/>
      <c r="Q283" s="2326"/>
      <c r="R283" s="2326"/>
      <c r="S283" s="2326"/>
      <c r="T283" s="2326"/>
      <c r="U283" s="2327"/>
      <c r="V283" s="2327"/>
      <c r="W283" s="2327"/>
      <c r="X283" s="2327"/>
      <c r="Y283" s="1083"/>
      <c r="Z283" s="480"/>
      <c r="AA283" s="1083"/>
      <c r="AB283" s="1083"/>
      <c r="AC283" s="1083"/>
      <c r="AD283" s="1083"/>
      <c r="AE283" s="1083"/>
      <c r="AF283" s="1555"/>
      <c r="AG283" s="502"/>
      <c r="AH283" s="502"/>
      <c r="AI283" s="502"/>
      <c r="AJ283" s="502"/>
      <c r="AK283" s="1564">
        <v>11</v>
      </c>
    </row>
    <row r="284" spans="1:37" s="1564" customFormat="1" ht="11.45" customHeight="1">
      <c r="A284" s="914"/>
      <c r="B284" s="1559"/>
      <c r="C284" s="1559"/>
      <c r="D284" s="287"/>
      <c r="P284" s="2326"/>
      <c r="Q284" s="2326"/>
      <c r="R284" s="2326"/>
      <c r="S284" s="2326"/>
      <c r="T284" s="2326"/>
      <c r="U284" s="2327"/>
      <c r="V284" s="2327"/>
      <c r="W284" s="2327"/>
      <c r="X284" s="2327"/>
      <c r="Y284" s="1083"/>
      <c r="Z284" s="480"/>
      <c r="AA284" s="1083"/>
      <c r="AB284" s="1083"/>
      <c r="AC284" s="1083"/>
      <c r="AD284" s="1083"/>
      <c r="AE284" s="1083"/>
      <c r="AF284" s="1555"/>
      <c r="AG284" s="502"/>
      <c r="AH284" s="502"/>
      <c r="AI284" s="502"/>
      <c r="AJ284" s="502"/>
      <c r="AK284" s="1564">
        <v>11</v>
      </c>
    </row>
    <row r="285" spans="1:37" s="1564" customFormat="1" ht="11.45" customHeight="1">
      <c r="A285" s="914"/>
      <c r="B285" s="1559"/>
      <c r="C285" s="1559"/>
      <c r="D285" s="287"/>
      <c r="P285" s="2326"/>
      <c r="Q285" s="2326"/>
      <c r="R285" s="2326"/>
      <c r="S285" s="2326"/>
      <c r="T285" s="2326"/>
      <c r="U285" s="2327"/>
      <c r="V285" s="2327"/>
      <c r="W285" s="2327"/>
      <c r="X285" s="2327"/>
      <c r="Y285" s="1083"/>
      <c r="Z285" s="480"/>
      <c r="AA285" s="1083"/>
      <c r="AB285" s="1083"/>
      <c r="AC285" s="1083"/>
      <c r="AD285" s="1083"/>
      <c r="AE285" s="1083"/>
      <c r="AF285" s="1555"/>
      <c r="AG285" s="502"/>
      <c r="AH285" s="502"/>
      <c r="AI285" s="502"/>
      <c r="AJ285" s="502"/>
      <c r="AK285" s="1564">
        <v>11</v>
      </c>
    </row>
    <row r="286" spans="1:37" s="1564" customFormat="1" ht="11.45" customHeight="1">
      <c r="A286" s="914"/>
      <c r="B286" s="1559"/>
      <c r="C286" s="1559"/>
      <c r="D286" s="287"/>
      <c r="P286" s="2326"/>
      <c r="Q286" s="2326"/>
      <c r="R286" s="2326"/>
      <c r="S286" s="2326"/>
      <c r="T286" s="2326"/>
      <c r="U286" s="2327"/>
      <c r="V286" s="2327"/>
      <c r="W286" s="2327"/>
      <c r="X286" s="2327"/>
      <c r="Y286" s="1083"/>
      <c r="Z286" s="480"/>
      <c r="AA286" s="1083"/>
      <c r="AB286" s="1083"/>
      <c r="AC286" s="1083"/>
      <c r="AD286" s="1083"/>
      <c r="AE286" s="1083"/>
      <c r="AF286" s="1555"/>
      <c r="AG286" s="502"/>
      <c r="AH286" s="502"/>
      <c r="AI286" s="502"/>
      <c r="AJ286" s="502"/>
      <c r="AK286" s="1564">
        <v>11</v>
      </c>
    </row>
    <row r="287" spans="1:37" s="1564" customFormat="1" ht="11.45" customHeight="1">
      <c r="A287" s="914"/>
      <c r="B287" s="1559"/>
      <c r="C287" s="1559"/>
      <c r="D287" s="287"/>
      <c r="P287" s="2326"/>
      <c r="Q287" s="2326"/>
      <c r="R287" s="2326"/>
      <c r="S287" s="2326"/>
      <c r="T287" s="2326"/>
      <c r="U287" s="2327"/>
      <c r="V287" s="2327"/>
      <c r="W287" s="2327"/>
      <c r="X287" s="2327"/>
      <c r="Y287" s="1083"/>
      <c r="Z287" s="480"/>
      <c r="AA287" s="1083"/>
      <c r="AB287" s="1083"/>
      <c r="AC287" s="1083"/>
      <c r="AD287" s="1083"/>
      <c r="AE287" s="1083"/>
      <c r="AF287" s="1555"/>
      <c r="AG287" s="502"/>
      <c r="AH287" s="502"/>
      <c r="AI287" s="502"/>
      <c r="AJ287" s="502"/>
      <c r="AK287" s="1564">
        <v>11</v>
      </c>
    </row>
    <row r="288" spans="1:37" s="1564" customFormat="1" ht="11.45" customHeight="1">
      <c r="A288" s="914"/>
      <c r="B288" s="1559"/>
      <c r="C288" s="1559"/>
      <c r="D288" s="287"/>
      <c r="P288" s="2326"/>
      <c r="Q288" s="2326"/>
      <c r="R288" s="2326"/>
      <c r="S288" s="2326"/>
      <c r="T288" s="2326"/>
      <c r="U288" s="2327"/>
      <c r="V288" s="2327"/>
      <c r="W288" s="2327"/>
      <c r="X288" s="2327"/>
      <c r="Y288" s="1083"/>
      <c r="Z288" s="480"/>
      <c r="AA288" s="1083"/>
      <c r="AB288" s="1083"/>
      <c r="AC288" s="1083"/>
      <c r="AD288" s="1083"/>
      <c r="AE288" s="1083"/>
      <c r="AF288" s="1555"/>
      <c r="AG288" s="502"/>
      <c r="AH288" s="502"/>
      <c r="AI288" s="502"/>
      <c r="AJ288" s="502"/>
      <c r="AK288" s="1564">
        <v>11</v>
      </c>
    </row>
    <row r="289" spans="1:37" s="1564" customFormat="1" ht="11.45" customHeight="1">
      <c r="A289" s="914"/>
      <c r="B289" s="1559"/>
      <c r="C289" s="1559"/>
      <c r="D289" s="287"/>
      <c r="P289" s="2326"/>
      <c r="Q289" s="2326"/>
      <c r="R289" s="2326"/>
      <c r="S289" s="2326"/>
      <c r="T289" s="2326"/>
      <c r="U289" s="2327"/>
      <c r="V289" s="2327"/>
      <c r="W289" s="2327"/>
      <c r="X289" s="2327"/>
      <c r="Y289" s="1083"/>
      <c r="Z289" s="480"/>
      <c r="AA289" s="1083"/>
      <c r="AB289" s="1083"/>
      <c r="AC289" s="1083"/>
      <c r="AD289" s="1083"/>
      <c r="AE289" s="1083"/>
      <c r="AF289" s="1555"/>
      <c r="AG289" s="502"/>
      <c r="AH289" s="502"/>
      <c r="AI289" s="502"/>
      <c r="AJ289" s="502"/>
      <c r="AK289" s="1564">
        <v>11</v>
      </c>
    </row>
    <row r="290" spans="1:37" s="1564" customFormat="1" ht="11.45" customHeight="1">
      <c r="A290" s="914"/>
      <c r="B290" s="1559"/>
      <c r="C290" s="1559"/>
      <c r="D290" s="287"/>
      <c r="P290" s="2326"/>
      <c r="Q290" s="2326"/>
      <c r="R290" s="2326"/>
      <c r="S290" s="2326"/>
      <c r="T290" s="2326"/>
      <c r="U290" s="2327"/>
      <c r="V290" s="2327"/>
      <c r="W290" s="2327"/>
      <c r="X290" s="2327"/>
      <c r="Y290" s="1083"/>
      <c r="Z290" s="480"/>
      <c r="AA290" s="1083"/>
      <c r="AB290" s="1083"/>
      <c r="AC290" s="1083"/>
      <c r="AD290" s="1083"/>
      <c r="AE290" s="1083"/>
      <c r="AF290" s="1555"/>
      <c r="AG290" s="502"/>
      <c r="AH290" s="502"/>
      <c r="AI290" s="502"/>
      <c r="AJ290" s="502"/>
      <c r="AK290" s="1564">
        <v>11</v>
      </c>
    </row>
    <row r="291" spans="1:37" s="1564" customFormat="1" ht="11.45" customHeight="1">
      <c r="A291" s="914"/>
      <c r="B291" s="1559"/>
      <c r="C291" s="1559"/>
      <c r="D291" s="287"/>
      <c r="P291" s="2326"/>
      <c r="Q291" s="2326"/>
      <c r="R291" s="2326"/>
      <c r="S291" s="2326"/>
      <c r="T291" s="2326"/>
      <c r="U291" s="2327"/>
      <c r="V291" s="2327"/>
      <c r="W291" s="2327"/>
      <c r="X291" s="2327"/>
      <c r="Y291" s="1083"/>
      <c r="Z291" s="480"/>
      <c r="AA291" s="1083"/>
      <c r="AB291" s="1083"/>
      <c r="AC291" s="1083"/>
      <c r="AD291" s="1083"/>
      <c r="AE291" s="1083"/>
      <c r="AF291" s="1555"/>
      <c r="AG291" s="502"/>
      <c r="AH291" s="502"/>
      <c r="AI291" s="502"/>
      <c r="AJ291" s="502"/>
      <c r="AK291" s="1564">
        <v>11</v>
      </c>
    </row>
    <row r="292" spans="1:37" s="1564" customFormat="1" ht="11.45" customHeight="1">
      <c r="A292" s="914"/>
      <c r="B292" s="1559"/>
      <c r="C292" s="1559"/>
      <c r="D292" s="287"/>
      <c r="P292" s="2326"/>
      <c r="Q292" s="2326"/>
      <c r="R292" s="2326"/>
      <c r="S292" s="2326"/>
      <c r="T292" s="2326"/>
      <c r="U292" s="2327"/>
      <c r="V292" s="2327"/>
      <c r="W292" s="2327"/>
      <c r="X292" s="2327"/>
      <c r="Y292" s="1083"/>
      <c r="Z292" s="480"/>
      <c r="AA292" s="1083"/>
      <c r="AB292" s="1083"/>
      <c r="AC292" s="1083"/>
      <c r="AD292" s="1083"/>
      <c r="AE292" s="1083"/>
      <c r="AF292" s="1555"/>
      <c r="AG292" s="502"/>
      <c r="AH292" s="502"/>
      <c r="AI292" s="502"/>
      <c r="AJ292" s="502"/>
      <c r="AK292" s="1564">
        <v>11</v>
      </c>
    </row>
    <row r="293" spans="1:37" s="1564" customFormat="1" ht="11.45" customHeight="1">
      <c r="A293" s="914"/>
      <c r="B293" s="1559"/>
      <c r="C293" s="1559"/>
      <c r="D293" s="287"/>
      <c r="P293" s="2326"/>
      <c r="Q293" s="2326"/>
      <c r="R293" s="2326"/>
      <c r="S293" s="2326"/>
      <c r="T293" s="2326"/>
      <c r="U293" s="2327"/>
      <c r="V293" s="2327"/>
      <c r="W293" s="2327"/>
      <c r="X293" s="2327"/>
      <c r="Y293" s="1083"/>
      <c r="Z293" s="480"/>
      <c r="AA293" s="1083"/>
      <c r="AB293" s="1083"/>
      <c r="AC293" s="1083"/>
      <c r="AD293" s="1083"/>
      <c r="AE293" s="1083"/>
      <c r="AF293" s="1555"/>
      <c r="AG293" s="502"/>
      <c r="AH293" s="502"/>
      <c r="AI293" s="502"/>
      <c r="AJ293" s="502"/>
      <c r="AK293" s="1564">
        <v>11</v>
      </c>
    </row>
    <row r="294" spans="1:37" s="1564" customFormat="1" ht="11.45" customHeight="1">
      <c r="A294" s="914"/>
      <c r="B294" s="1559"/>
      <c r="C294" s="1559"/>
      <c r="D294" s="287"/>
      <c r="P294" s="2326"/>
      <c r="Q294" s="2326"/>
      <c r="R294" s="2326"/>
      <c r="S294" s="2326"/>
      <c r="T294" s="2326"/>
      <c r="U294" s="2327"/>
      <c r="V294" s="2327"/>
      <c r="W294" s="2327"/>
      <c r="X294" s="2327"/>
      <c r="Y294" s="1083"/>
      <c r="Z294" s="480"/>
      <c r="AA294" s="1083"/>
      <c r="AB294" s="1083"/>
      <c r="AC294" s="1083"/>
      <c r="AD294" s="1083"/>
      <c r="AE294" s="1083"/>
      <c r="AF294" s="1555"/>
      <c r="AG294" s="502"/>
      <c r="AH294" s="502"/>
      <c r="AI294" s="502"/>
      <c r="AJ294" s="502"/>
      <c r="AK294" s="1564">
        <v>11</v>
      </c>
    </row>
    <row r="295" spans="1:37" s="1564" customFormat="1" ht="11.45" customHeight="1">
      <c r="A295" s="914"/>
      <c r="B295" s="1559"/>
      <c r="C295" s="1559"/>
      <c r="D295" s="287"/>
      <c r="P295" s="2326"/>
      <c r="Q295" s="2326"/>
      <c r="R295" s="2326"/>
      <c r="S295" s="2326"/>
      <c r="T295" s="2326"/>
      <c r="U295" s="2327"/>
      <c r="V295" s="2327"/>
      <c r="W295" s="2327"/>
      <c r="X295" s="2327"/>
      <c r="Y295" s="1083"/>
      <c r="Z295" s="480"/>
      <c r="AA295" s="1083"/>
      <c r="AB295" s="1083"/>
      <c r="AC295" s="1083"/>
      <c r="AD295" s="1083"/>
      <c r="AE295" s="1083"/>
      <c r="AF295" s="1555"/>
      <c r="AG295" s="502"/>
      <c r="AH295" s="502"/>
      <c r="AI295" s="502"/>
      <c r="AJ295" s="502"/>
      <c r="AK295" s="1564">
        <v>11</v>
      </c>
    </row>
    <row r="296" spans="1:37" s="1564" customFormat="1" ht="11.45" customHeight="1">
      <c r="A296" s="914"/>
      <c r="B296" s="1559"/>
      <c r="C296" s="1559"/>
      <c r="D296" s="287"/>
      <c r="P296" s="2326"/>
      <c r="Q296" s="2326"/>
      <c r="R296" s="2326"/>
      <c r="S296" s="2326"/>
      <c r="T296" s="2326"/>
      <c r="U296" s="2327"/>
      <c r="V296" s="2327"/>
      <c r="W296" s="2327"/>
      <c r="X296" s="2327"/>
      <c r="Y296" s="1083"/>
      <c r="Z296" s="480"/>
      <c r="AA296" s="1083"/>
      <c r="AB296" s="1083"/>
      <c r="AC296" s="1083"/>
      <c r="AD296" s="1083"/>
      <c r="AE296" s="1083"/>
      <c r="AF296" s="1555"/>
      <c r="AG296" s="502"/>
      <c r="AH296" s="502"/>
      <c r="AI296" s="502"/>
      <c r="AJ296" s="502"/>
      <c r="AK296" s="1564">
        <v>11</v>
      </c>
    </row>
    <row r="297" spans="1:37" s="1564" customFormat="1" ht="11.45" customHeight="1">
      <c r="A297" s="914"/>
      <c r="B297" s="1559"/>
      <c r="C297" s="1559"/>
      <c r="D297" s="287"/>
      <c r="P297" s="2326"/>
      <c r="Q297" s="2326"/>
      <c r="R297" s="2326"/>
      <c r="S297" s="2326"/>
      <c r="T297" s="2326"/>
      <c r="U297" s="2327"/>
      <c r="V297" s="2327"/>
      <c r="W297" s="2327"/>
      <c r="X297" s="2327"/>
      <c r="Y297" s="1083"/>
      <c r="Z297" s="480"/>
      <c r="AA297" s="1083"/>
      <c r="AB297" s="1083"/>
      <c r="AC297" s="1083"/>
      <c r="AD297" s="1083"/>
      <c r="AE297" s="1083"/>
      <c r="AF297" s="1555"/>
      <c r="AG297" s="502"/>
      <c r="AH297" s="502"/>
      <c r="AI297" s="502"/>
      <c r="AJ297" s="502"/>
      <c r="AK297" s="1564">
        <v>11</v>
      </c>
    </row>
    <row r="298" spans="1:37" s="1564" customFormat="1" ht="11.45" customHeight="1">
      <c r="A298" s="914"/>
      <c r="B298" s="1559"/>
      <c r="C298" s="1559"/>
      <c r="D298" s="287"/>
      <c r="P298" s="2326"/>
      <c r="Q298" s="2326"/>
      <c r="R298" s="2326"/>
      <c r="S298" s="2326"/>
      <c r="T298" s="2326"/>
      <c r="U298" s="2327"/>
      <c r="V298" s="2327"/>
      <c r="W298" s="2327"/>
      <c r="X298" s="2327"/>
      <c r="Y298" s="1083"/>
      <c r="Z298" s="480"/>
      <c r="AA298" s="1083"/>
      <c r="AB298" s="1083"/>
      <c r="AC298" s="1083"/>
      <c r="AD298" s="1083"/>
      <c r="AE298" s="1083"/>
      <c r="AF298" s="1555"/>
      <c r="AG298" s="502"/>
      <c r="AH298" s="502"/>
      <c r="AI298" s="502"/>
      <c r="AJ298" s="502"/>
      <c r="AK298" s="1564">
        <v>11</v>
      </c>
    </row>
    <row r="299" spans="1:37" s="1564" customFormat="1" ht="11.45" customHeight="1">
      <c r="A299" s="914"/>
      <c r="B299" s="1559"/>
      <c r="C299" s="1559"/>
      <c r="D299" s="287"/>
      <c r="P299" s="2326"/>
      <c r="Q299" s="2326"/>
      <c r="R299" s="2326"/>
      <c r="S299" s="2326"/>
      <c r="T299" s="2326"/>
      <c r="U299" s="2327"/>
      <c r="V299" s="2327"/>
      <c r="W299" s="2327"/>
      <c r="X299" s="2327"/>
      <c r="Y299" s="1083"/>
      <c r="Z299" s="480"/>
      <c r="AA299" s="1083"/>
      <c r="AB299" s="1083"/>
      <c r="AC299" s="1083"/>
      <c r="AD299" s="1083"/>
      <c r="AE299" s="1083"/>
      <c r="AF299" s="1555"/>
      <c r="AG299" s="502"/>
      <c r="AH299" s="502"/>
      <c r="AI299" s="502"/>
      <c r="AJ299" s="502"/>
      <c r="AK299" s="1564">
        <v>11</v>
      </c>
    </row>
    <row r="300" spans="1:37" s="1564" customFormat="1" ht="11.45" customHeight="1">
      <c r="A300" s="914"/>
      <c r="B300" s="1559"/>
      <c r="C300" s="1559"/>
      <c r="D300" s="287"/>
      <c r="P300" s="2326"/>
      <c r="Q300" s="2326"/>
      <c r="R300" s="2326"/>
      <c r="S300" s="2326"/>
      <c r="T300" s="2326"/>
      <c r="U300" s="2327"/>
      <c r="V300" s="2327"/>
      <c r="W300" s="2327"/>
      <c r="X300" s="2327"/>
      <c r="Y300" s="1083"/>
      <c r="Z300" s="480"/>
      <c r="AA300" s="1083"/>
      <c r="AB300" s="1083"/>
      <c r="AC300" s="1083"/>
      <c r="AD300" s="1083"/>
      <c r="AE300" s="1083"/>
      <c r="AF300" s="1555"/>
      <c r="AG300" s="502"/>
      <c r="AH300" s="502"/>
      <c r="AI300" s="502"/>
      <c r="AJ300" s="502"/>
      <c r="AK300" s="1564">
        <v>11</v>
      </c>
    </row>
    <row r="301" spans="1:37" s="1564" customFormat="1" ht="11.45" customHeight="1">
      <c r="A301" s="914"/>
      <c r="B301" s="1559"/>
      <c r="C301" s="1559"/>
      <c r="D301" s="287"/>
      <c r="P301" s="2326"/>
      <c r="Q301" s="2326"/>
      <c r="R301" s="2326"/>
      <c r="S301" s="2326"/>
      <c r="T301" s="2326"/>
      <c r="U301" s="2327"/>
      <c r="V301" s="2327"/>
      <c r="W301" s="2327"/>
      <c r="X301" s="2327"/>
      <c r="Y301" s="1083"/>
      <c r="Z301" s="480"/>
      <c r="AA301" s="1083"/>
      <c r="AB301" s="1083"/>
      <c r="AC301" s="1083"/>
      <c r="AD301" s="1083"/>
      <c r="AE301" s="1083"/>
      <c r="AF301" s="1555"/>
      <c r="AG301" s="502"/>
      <c r="AH301" s="502"/>
      <c r="AI301" s="502"/>
      <c r="AJ301" s="502"/>
      <c r="AK301" s="1564">
        <v>11</v>
      </c>
    </row>
    <row r="302" spans="1:37" s="1564" customFormat="1" ht="11.45" customHeight="1">
      <c r="A302" s="914"/>
      <c r="B302" s="1559"/>
      <c r="C302" s="1559"/>
      <c r="D302" s="287"/>
      <c r="P302" s="2326"/>
      <c r="Q302" s="2326"/>
      <c r="R302" s="2326"/>
      <c r="S302" s="2326"/>
      <c r="T302" s="2326"/>
      <c r="U302" s="2327"/>
      <c r="V302" s="2327"/>
      <c r="W302" s="2327"/>
      <c r="X302" s="2327"/>
      <c r="Y302" s="1083"/>
      <c r="Z302" s="480"/>
      <c r="AA302" s="1083"/>
      <c r="AB302" s="1083"/>
      <c r="AC302" s="1083"/>
      <c r="AD302" s="1083"/>
      <c r="AE302" s="1083"/>
      <c r="AF302" s="1555"/>
      <c r="AG302" s="502"/>
      <c r="AH302" s="502"/>
      <c r="AI302" s="502"/>
      <c r="AJ302" s="502"/>
      <c r="AK302" s="1564">
        <v>11</v>
      </c>
    </row>
    <row r="303" spans="1:37" s="1564" customFormat="1" ht="11.45" customHeight="1">
      <c r="A303" s="914"/>
      <c r="B303" s="1559"/>
      <c r="C303" s="1559"/>
      <c r="D303" s="287"/>
      <c r="P303" s="2326"/>
      <c r="Q303" s="2326"/>
      <c r="R303" s="2326"/>
      <c r="S303" s="2326"/>
      <c r="T303" s="2326"/>
      <c r="U303" s="2327"/>
      <c r="V303" s="2327"/>
      <c r="W303" s="2327"/>
      <c r="X303" s="2327"/>
      <c r="Y303" s="1083"/>
      <c r="Z303" s="480"/>
      <c r="AA303" s="1083"/>
      <c r="AB303" s="1083"/>
      <c r="AC303" s="1083"/>
      <c r="AD303" s="1083"/>
      <c r="AE303" s="1083"/>
      <c r="AF303" s="1555"/>
      <c r="AG303" s="502"/>
      <c r="AH303" s="502"/>
      <c r="AI303" s="502"/>
      <c r="AJ303" s="502"/>
      <c r="AK303" s="1564">
        <v>11</v>
      </c>
    </row>
    <row r="304" spans="1:37" s="1564" customFormat="1" ht="11.45" customHeight="1">
      <c r="A304" s="914"/>
      <c r="B304" s="1559"/>
      <c r="C304" s="1559"/>
      <c r="D304" s="287"/>
      <c r="P304" s="2326"/>
      <c r="Q304" s="2326"/>
      <c r="R304" s="2326"/>
      <c r="S304" s="2326"/>
      <c r="T304" s="2326"/>
      <c r="U304" s="2327"/>
      <c r="V304" s="2327"/>
      <c r="W304" s="2327"/>
      <c r="X304" s="2327"/>
      <c r="Y304" s="1083"/>
      <c r="Z304" s="480"/>
      <c r="AA304" s="1083"/>
      <c r="AB304" s="1083"/>
      <c r="AC304" s="1083"/>
      <c r="AD304" s="1083"/>
      <c r="AE304" s="1083"/>
      <c r="AF304" s="1555"/>
      <c r="AG304" s="502"/>
      <c r="AH304" s="502"/>
      <c r="AI304" s="502"/>
      <c r="AJ304" s="502"/>
      <c r="AK304" s="1564">
        <v>11</v>
      </c>
    </row>
    <row r="305" spans="1:37" s="1564" customFormat="1" ht="11.45" customHeight="1">
      <c r="A305" s="914"/>
      <c r="B305" s="1559"/>
      <c r="C305" s="1559"/>
      <c r="D305" s="287"/>
      <c r="P305" s="2326"/>
      <c r="Q305" s="2326"/>
      <c r="R305" s="2326"/>
      <c r="S305" s="2326"/>
      <c r="T305" s="2326"/>
      <c r="U305" s="2327"/>
      <c r="V305" s="2327"/>
      <c r="W305" s="2327"/>
      <c r="X305" s="2327"/>
      <c r="Y305" s="1083"/>
      <c r="Z305" s="480"/>
      <c r="AA305" s="1083"/>
      <c r="AB305" s="1083"/>
      <c r="AC305" s="1083"/>
      <c r="AD305" s="1083"/>
      <c r="AE305" s="1083"/>
      <c r="AF305" s="1555"/>
      <c r="AG305" s="502"/>
      <c r="AH305" s="502"/>
      <c r="AI305" s="502"/>
      <c r="AJ305" s="502"/>
      <c r="AK305" s="1564">
        <v>11</v>
      </c>
    </row>
    <row r="306" spans="1:37" s="1564" customFormat="1" ht="11.45" customHeight="1">
      <c r="A306" s="914"/>
      <c r="B306" s="1559"/>
      <c r="C306" s="1559"/>
      <c r="D306" s="287"/>
      <c r="P306" s="2326"/>
      <c r="Q306" s="2326"/>
      <c r="R306" s="2326"/>
      <c r="S306" s="2326"/>
      <c r="T306" s="2326"/>
      <c r="U306" s="2327"/>
      <c r="V306" s="2327"/>
      <c r="W306" s="2327"/>
      <c r="X306" s="2327"/>
      <c r="Y306" s="1083"/>
      <c r="Z306" s="480"/>
      <c r="AA306" s="1083"/>
      <c r="AB306" s="1083"/>
      <c r="AC306" s="1083"/>
      <c r="AD306" s="1083"/>
      <c r="AE306" s="1083"/>
      <c r="AF306" s="1555"/>
      <c r="AG306" s="502"/>
      <c r="AH306" s="502"/>
      <c r="AI306" s="502"/>
      <c r="AJ306" s="502"/>
      <c r="AK306" s="1564">
        <v>11</v>
      </c>
    </row>
    <row r="307" spans="1:37" s="1564" customFormat="1" ht="11.45" customHeight="1">
      <c r="A307" s="914"/>
      <c r="B307" s="1559"/>
      <c r="C307" s="1559"/>
      <c r="D307" s="287"/>
      <c r="P307" s="2326"/>
      <c r="Q307" s="2326"/>
      <c r="R307" s="2326"/>
      <c r="S307" s="2326"/>
      <c r="T307" s="2326"/>
      <c r="U307" s="2327"/>
      <c r="V307" s="2327"/>
      <c r="W307" s="2327"/>
      <c r="X307" s="2327"/>
      <c r="Y307" s="1083"/>
      <c r="Z307" s="480"/>
      <c r="AA307" s="1083"/>
      <c r="AB307" s="1083"/>
      <c r="AC307" s="1083"/>
      <c r="AD307" s="1083"/>
      <c r="AE307" s="1083"/>
      <c r="AF307" s="1555"/>
      <c r="AG307" s="502"/>
      <c r="AH307" s="502"/>
      <c r="AI307" s="502"/>
      <c r="AJ307" s="502"/>
      <c r="AK307" s="1564">
        <v>11</v>
      </c>
    </row>
    <row r="308" spans="1:37" s="1564" customFormat="1" ht="11.45" customHeight="1">
      <c r="A308" s="914"/>
      <c r="B308" s="1559"/>
      <c r="C308" s="1559"/>
      <c r="D308" s="287"/>
      <c r="P308" s="2326"/>
      <c r="Q308" s="2326"/>
      <c r="R308" s="2326"/>
      <c r="S308" s="2326"/>
      <c r="T308" s="2326"/>
      <c r="U308" s="2327"/>
      <c r="V308" s="2327"/>
      <c r="W308" s="2327"/>
      <c r="X308" s="2327"/>
      <c r="Y308" s="1083"/>
      <c r="Z308" s="480"/>
      <c r="AA308" s="1083"/>
      <c r="AB308" s="1083"/>
      <c r="AC308" s="1083"/>
      <c r="AD308" s="1083"/>
      <c r="AE308" s="1083"/>
      <c r="AF308" s="1555"/>
      <c r="AG308" s="502"/>
      <c r="AH308" s="502"/>
      <c r="AI308" s="502"/>
      <c r="AJ308" s="502"/>
      <c r="AK308" s="1564">
        <v>11</v>
      </c>
    </row>
    <row r="309" spans="1:37" s="1564" customFormat="1" ht="11.45" customHeight="1">
      <c r="A309" s="914"/>
      <c r="B309" s="1559"/>
      <c r="C309" s="1559"/>
      <c r="D309" s="287"/>
      <c r="P309" s="2326"/>
      <c r="Q309" s="2326"/>
      <c r="R309" s="2326"/>
      <c r="S309" s="2326"/>
      <c r="T309" s="2326"/>
      <c r="U309" s="2327"/>
      <c r="V309" s="2327"/>
      <c r="W309" s="2327"/>
      <c r="X309" s="2327"/>
      <c r="Y309" s="1083"/>
      <c r="Z309" s="480"/>
      <c r="AA309" s="1083"/>
      <c r="AB309" s="1083"/>
      <c r="AC309" s="1083"/>
      <c r="AD309" s="1083"/>
      <c r="AE309" s="1083"/>
      <c r="AF309" s="1555"/>
      <c r="AG309" s="502"/>
      <c r="AH309" s="502"/>
      <c r="AI309" s="502"/>
      <c r="AJ309" s="502"/>
      <c r="AK309" s="1564">
        <v>11</v>
      </c>
    </row>
    <row r="310" spans="1:37" s="1564" customFormat="1" ht="11.45" customHeight="1">
      <c r="A310" s="914"/>
      <c r="B310" s="1559"/>
      <c r="C310" s="1559"/>
      <c r="D310" s="287"/>
      <c r="P310" s="2326"/>
      <c r="Q310" s="2326"/>
      <c r="R310" s="2326"/>
      <c r="S310" s="2326"/>
      <c r="T310" s="2326"/>
      <c r="U310" s="2327"/>
      <c r="V310" s="2327"/>
      <c r="W310" s="2327"/>
      <c r="X310" s="2327"/>
      <c r="Y310" s="1083"/>
      <c r="Z310" s="480"/>
      <c r="AA310" s="1083"/>
      <c r="AB310" s="1083"/>
      <c r="AC310" s="1083"/>
      <c r="AD310" s="1083"/>
      <c r="AE310" s="1083"/>
      <c r="AF310" s="1555"/>
      <c r="AG310" s="502"/>
      <c r="AH310" s="502"/>
      <c r="AI310" s="502"/>
      <c r="AJ310" s="502"/>
      <c r="AK310" s="1564">
        <v>11</v>
      </c>
    </row>
    <row r="311" spans="1:37" s="1564" customFormat="1" ht="11.45" customHeight="1">
      <c r="A311" s="914"/>
      <c r="B311" s="1559"/>
      <c r="C311" s="1559"/>
      <c r="D311" s="287"/>
      <c r="P311" s="2326"/>
      <c r="Q311" s="2326"/>
      <c r="R311" s="2326"/>
      <c r="S311" s="2326"/>
      <c r="T311" s="2326"/>
      <c r="U311" s="2327"/>
      <c r="V311" s="2327"/>
      <c r="W311" s="2327"/>
      <c r="X311" s="2327"/>
      <c r="Y311" s="1083"/>
      <c r="Z311" s="480"/>
      <c r="AA311" s="1083"/>
      <c r="AB311" s="1083"/>
      <c r="AC311" s="1083"/>
      <c r="AD311" s="1083"/>
      <c r="AE311" s="1083"/>
      <c r="AF311" s="1555"/>
      <c r="AG311" s="502"/>
      <c r="AH311" s="502"/>
      <c r="AI311" s="502"/>
      <c r="AJ311" s="502"/>
      <c r="AK311" s="1564">
        <v>11</v>
      </c>
    </row>
    <row r="312" spans="1:37" s="1564" customFormat="1" ht="11.45" customHeight="1">
      <c r="A312" s="914"/>
      <c r="B312" s="1559"/>
      <c r="C312" s="1559"/>
      <c r="D312" s="287"/>
      <c r="P312" s="2326"/>
      <c r="Q312" s="2326"/>
      <c r="R312" s="2326"/>
      <c r="S312" s="2326"/>
      <c r="T312" s="2326"/>
      <c r="U312" s="2327"/>
      <c r="V312" s="2327"/>
      <c r="W312" s="2327"/>
      <c r="X312" s="2327"/>
      <c r="Y312" s="1083"/>
      <c r="Z312" s="480"/>
      <c r="AA312" s="1083"/>
      <c r="AB312" s="1083"/>
      <c r="AC312" s="1083"/>
      <c r="AD312" s="1083"/>
      <c r="AE312" s="1083"/>
      <c r="AF312" s="1555"/>
      <c r="AG312" s="502"/>
      <c r="AH312" s="502"/>
      <c r="AI312" s="502"/>
      <c r="AJ312" s="502"/>
      <c r="AK312" s="1564">
        <v>11</v>
      </c>
    </row>
    <row r="313" spans="1:37" s="1564" customFormat="1" ht="11.45" customHeight="1">
      <c r="A313" s="914"/>
      <c r="B313" s="1559"/>
      <c r="C313" s="1559"/>
      <c r="D313" s="287"/>
      <c r="P313" s="2326"/>
      <c r="Q313" s="2326"/>
      <c r="R313" s="2326"/>
      <c r="S313" s="2326"/>
      <c r="T313" s="2326"/>
      <c r="U313" s="2327"/>
      <c r="V313" s="2327"/>
      <c r="W313" s="2327"/>
      <c r="X313" s="2327"/>
      <c r="Y313" s="1083"/>
      <c r="Z313" s="480"/>
      <c r="AA313" s="1083"/>
      <c r="AB313" s="1083"/>
      <c r="AC313" s="1083"/>
      <c r="AD313" s="1083"/>
      <c r="AE313" s="1083"/>
      <c r="AF313" s="1555"/>
      <c r="AG313" s="502"/>
      <c r="AH313" s="502"/>
      <c r="AI313" s="502"/>
      <c r="AJ313" s="502"/>
      <c r="AK313" s="1564">
        <v>11</v>
      </c>
    </row>
    <row r="314" spans="1:37" s="1564" customFormat="1" ht="11.45" customHeight="1">
      <c r="A314" s="914"/>
      <c r="B314" s="1559"/>
      <c r="C314" s="1559"/>
      <c r="D314" s="287"/>
      <c r="P314" s="2326"/>
      <c r="Q314" s="2326"/>
      <c r="R314" s="2326"/>
      <c r="S314" s="2326"/>
      <c r="T314" s="2326"/>
      <c r="U314" s="2327"/>
      <c r="V314" s="2327"/>
      <c r="W314" s="2327"/>
      <c r="X314" s="2327"/>
      <c r="Y314" s="1083"/>
      <c r="Z314" s="480"/>
      <c r="AA314" s="1083"/>
      <c r="AB314" s="1083"/>
      <c r="AC314" s="1083"/>
      <c r="AD314" s="1083"/>
      <c r="AE314" s="1083"/>
      <c r="AF314" s="1555"/>
      <c r="AG314" s="502"/>
      <c r="AH314" s="502"/>
      <c r="AI314" s="502"/>
      <c r="AJ314" s="502"/>
      <c r="AK314" s="1564">
        <v>11</v>
      </c>
    </row>
    <row r="315" spans="1:37" s="1564" customFormat="1" ht="11.45" customHeight="1">
      <c r="A315" s="914"/>
      <c r="B315" s="1559"/>
      <c r="C315" s="1559"/>
      <c r="D315" s="287"/>
      <c r="P315" s="2326"/>
      <c r="Q315" s="2326"/>
      <c r="R315" s="2326"/>
      <c r="S315" s="2326"/>
      <c r="T315" s="2326"/>
      <c r="U315" s="2327"/>
      <c r="V315" s="2327"/>
      <c r="W315" s="2327"/>
      <c r="X315" s="2327"/>
      <c r="Y315" s="1083"/>
      <c r="Z315" s="480"/>
      <c r="AA315" s="1083"/>
      <c r="AB315" s="1083"/>
      <c r="AC315" s="1083"/>
      <c r="AD315" s="1083"/>
      <c r="AE315" s="1083"/>
      <c r="AF315" s="1555"/>
      <c r="AG315" s="502"/>
      <c r="AH315" s="502"/>
      <c r="AI315" s="502"/>
      <c r="AJ315" s="502"/>
      <c r="AK315" s="1564">
        <v>11</v>
      </c>
    </row>
    <row r="316" spans="1:37" s="1564" customFormat="1" ht="11.45" customHeight="1">
      <c r="A316" s="914"/>
      <c r="B316" s="1559"/>
      <c r="C316" s="1559"/>
      <c r="D316" s="287"/>
      <c r="P316" s="2326"/>
      <c r="Q316" s="2326"/>
      <c r="R316" s="2326"/>
      <c r="S316" s="2326"/>
      <c r="T316" s="2326"/>
      <c r="U316" s="2327"/>
      <c r="V316" s="2327"/>
      <c r="W316" s="2327"/>
      <c r="X316" s="2327"/>
      <c r="Y316" s="1083"/>
      <c r="Z316" s="480"/>
      <c r="AA316" s="1083"/>
      <c r="AB316" s="1083"/>
      <c r="AC316" s="1083"/>
      <c r="AD316" s="1083"/>
      <c r="AE316" s="1083"/>
      <c r="AF316" s="1555"/>
      <c r="AG316" s="502"/>
      <c r="AH316" s="502"/>
      <c r="AI316" s="502"/>
      <c r="AJ316" s="502"/>
      <c r="AK316" s="1564">
        <v>11</v>
      </c>
    </row>
    <row r="317" spans="1:37" s="1564" customFormat="1" ht="11.45" customHeight="1">
      <c r="A317" s="914"/>
      <c r="B317" s="1559"/>
      <c r="C317" s="1559"/>
      <c r="D317" s="287"/>
      <c r="P317" s="2326"/>
      <c r="Q317" s="2326"/>
      <c r="R317" s="2326"/>
      <c r="S317" s="2326"/>
      <c r="T317" s="2326"/>
      <c r="U317" s="2327"/>
      <c r="V317" s="2327"/>
      <c r="W317" s="2327"/>
      <c r="X317" s="2327"/>
      <c r="Y317" s="1083"/>
      <c r="Z317" s="480"/>
      <c r="AA317" s="1083"/>
      <c r="AB317" s="1083"/>
      <c r="AC317" s="1083"/>
      <c r="AD317" s="1083"/>
      <c r="AE317" s="1083"/>
      <c r="AF317" s="1555"/>
      <c r="AG317" s="502"/>
      <c r="AH317" s="502"/>
      <c r="AI317" s="502"/>
      <c r="AJ317" s="502"/>
      <c r="AK317" s="1564">
        <v>11</v>
      </c>
    </row>
    <row r="318" spans="1:37" s="1564" customFormat="1" ht="11.45" customHeight="1">
      <c r="A318" s="914"/>
      <c r="B318" s="1559"/>
      <c r="C318" s="1559"/>
      <c r="D318" s="287"/>
      <c r="P318" s="2326"/>
      <c r="Q318" s="2326"/>
      <c r="R318" s="2326"/>
      <c r="S318" s="2326"/>
      <c r="T318" s="2326"/>
      <c r="U318" s="2327"/>
      <c r="V318" s="2327"/>
      <c r="W318" s="2327"/>
      <c r="X318" s="2327"/>
      <c r="Y318" s="1083"/>
      <c r="Z318" s="480"/>
      <c r="AA318" s="1083"/>
      <c r="AB318" s="1083"/>
      <c r="AC318" s="1083"/>
      <c r="AD318" s="1083"/>
      <c r="AE318" s="1083"/>
      <c r="AF318" s="1555"/>
      <c r="AG318" s="502"/>
      <c r="AH318" s="502"/>
      <c r="AI318" s="502"/>
      <c r="AJ318" s="502"/>
      <c r="AK318" s="1564">
        <v>11</v>
      </c>
    </row>
    <row r="319" spans="1:37" s="1564" customFormat="1" ht="11.45" customHeight="1">
      <c r="A319" s="914"/>
      <c r="B319" s="1559"/>
      <c r="C319" s="1559"/>
      <c r="D319" s="287"/>
      <c r="P319" s="2326"/>
      <c r="Q319" s="2326"/>
      <c r="R319" s="2326"/>
      <c r="S319" s="2326"/>
      <c r="T319" s="2326"/>
      <c r="U319" s="2327"/>
      <c r="V319" s="2327"/>
      <c r="W319" s="2327"/>
      <c r="X319" s="2327"/>
      <c r="Y319" s="1083"/>
      <c r="Z319" s="480"/>
      <c r="AA319" s="1083"/>
      <c r="AB319" s="1083"/>
      <c r="AC319" s="1083"/>
      <c r="AD319" s="1083"/>
      <c r="AE319" s="1083"/>
      <c r="AF319" s="1555"/>
      <c r="AG319" s="502"/>
      <c r="AH319" s="502"/>
      <c r="AI319" s="502"/>
      <c r="AJ319" s="502"/>
      <c r="AK319" s="1564">
        <v>11</v>
      </c>
    </row>
    <row r="320" spans="1:37" s="1564" customFormat="1" ht="11.45" customHeight="1">
      <c r="A320" s="914"/>
      <c r="B320" s="1559"/>
      <c r="C320" s="1559"/>
      <c r="D320" s="287"/>
      <c r="P320" s="2326"/>
      <c r="Q320" s="2326"/>
      <c r="R320" s="2326"/>
      <c r="S320" s="2326"/>
      <c r="T320" s="2326"/>
      <c r="U320" s="2327"/>
      <c r="V320" s="2327"/>
      <c r="W320" s="2327"/>
      <c r="X320" s="2327"/>
      <c r="Y320" s="1083"/>
      <c r="Z320" s="480"/>
      <c r="AA320" s="1083"/>
      <c r="AB320" s="1083"/>
      <c r="AC320" s="1083"/>
      <c r="AD320" s="1083"/>
      <c r="AE320" s="1083"/>
      <c r="AF320" s="1555"/>
      <c r="AG320" s="502"/>
      <c r="AH320" s="502"/>
      <c r="AI320" s="502"/>
      <c r="AJ320" s="502"/>
      <c r="AK320" s="1564">
        <v>11</v>
      </c>
    </row>
    <row r="321" spans="1:37" s="1564" customFormat="1" ht="11.45" customHeight="1">
      <c r="A321" s="914"/>
      <c r="B321" s="1559"/>
      <c r="C321" s="1559"/>
      <c r="D321" s="287"/>
      <c r="P321" s="2326"/>
      <c r="Q321" s="2326"/>
      <c r="R321" s="2326"/>
      <c r="S321" s="2326"/>
      <c r="T321" s="2326"/>
      <c r="U321" s="2327"/>
      <c r="V321" s="2327"/>
      <c r="W321" s="2327"/>
      <c r="X321" s="2327"/>
      <c r="Y321" s="1083"/>
      <c r="Z321" s="480"/>
      <c r="AA321" s="1083"/>
      <c r="AB321" s="1083"/>
      <c r="AC321" s="1083"/>
      <c r="AD321" s="1083"/>
      <c r="AE321" s="1083"/>
      <c r="AF321" s="1555"/>
      <c r="AG321" s="502"/>
      <c r="AH321" s="502"/>
      <c r="AI321" s="502"/>
      <c r="AJ321" s="502"/>
      <c r="AK321" s="1564">
        <v>11</v>
      </c>
    </row>
    <row r="322" spans="1:37" s="1564" customFormat="1" ht="11.45" customHeight="1">
      <c r="A322" s="914"/>
      <c r="B322" s="1559"/>
      <c r="C322" s="1559"/>
      <c r="D322" s="287"/>
      <c r="P322" s="2326"/>
      <c r="Q322" s="2326"/>
      <c r="R322" s="2326"/>
      <c r="S322" s="2326"/>
      <c r="T322" s="2326"/>
      <c r="U322" s="2327"/>
      <c r="V322" s="2327"/>
      <c r="W322" s="2327"/>
      <c r="X322" s="2327"/>
      <c r="Y322" s="1083"/>
      <c r="Z322" s="480"/>
      <c r="AA322" s="1083"/>
      <c r="AB322" s="1083"/>
      <c r="AC322" s="1083"/>
      <c r="AD322" s="1083"/>
      <c r="AE322" s="1083"/>
      <c r="AF322" s="1555"/>
      <c r="AG322" s="502"/>
      <c r="AH322" s="502"/>
      <c r="AI322" s="502"/>
      <c r="AJ322" s="502"/>
      <c r="AK322" s="1564">
        <v>11</v>
      </c>
    </row>
    <row r="323" spans="1:37" s="1564" customFormat="1" ht="11.45" customHeight="1">
      <c r="A323" s="914"/>
      <c r="B323" s="1559"/>
      <c r="C323" s="1559"/>
      <c r="D323" s="287"/>
      <c r="P323" s="2326"/>
      <c r="Q323" s="2326"/>
      <c r="R323" s="2326"/>
      <c r="S323" s="2326"/>
      <c r="T323" s="2326"/>
      <c r="U323" s="2327"/>
      <c r="V323" s="2327"/>
      <c r="W323" s="2327"/>
      <c r="X323" s="2327"/>
      <c r="Y323" s="1083"/>
      <c r="Z323" s="480"/>
      <c r="AA323" s="1083"/>
      <c r="AB323" s="1083"/>
      <c r="AC323" s="1083"/>
      <c r="AD323" s="1083"/>
      <c r="AE323" s="1083"/>
      <c r="AF323" s="1555"/>
      <c r="AG323" s="502"/>
      <c r="AH323" s="502"/>
      <c r="AI323" s="502"/>
      <c r="AJ323" s="502"/>
      <c r="AK323" s="1564">
        <v>11</v>
      </c>
    </row>
    <row r="324" spans="1:37" s="1564" customFormat="1" ht="11.45" customHeight="1">
      <c r="A324" s="914"/>
      <c r="B324" s="1559"/>
      <c r="C324" s="1559"/>
      <c r="D324" s="287"/>
      <c r="P324" s="2326"/>
      <c r="Q324" s="2326"/>
      <c r="R324" s="2326"/>
      <c r="S324" s="2326"/>
      <c r="T324" s="2326"/>
      <c r="U324" s="2327"/>
      <c r="V324" s="2327"/>
      <c r="W324" s="2327"/>
      <c r="X324" s="2327"/>
      <c r="Y324" s="1083"/>
      <c r="Z324" s="480"/>
      <c r="AA324" s="1083"/>
      <c r="AB324" s="1083"/>
      <c r="AC324" s="1083"/>
      <c r="AD324" s="1083"/>
      <c r="AE324" s="1083"/>
      <c r="AF324" s="1555"/>
      <c r="AG324" s="502"/>
      <c r="AH324" s="502"/>
      <c r="AI324" s="502"/>
      <c r="AJ324" s="502"/>
      <c r="AK324" s="1564">
        <v>11</v>
      </c>
    </row>
    <row r="325" spans="1:37" s="1564" customFormat="1" ht="11.45" customHeight="1">
      <c r="A325" s="914"/>
      <c r="B325" s="1559"/>
      <c r="C325" s="1559"/>
      <c r="D325" s="287"/>
      <c r="P325" s="2326"/>
      <c r="Q325" s="2326"/>
      <c r="R325" s="2326"/>
      <c r="S325" s="2326"/>
      <c r="T325" s="2326"/>
      <c r="U325" s="2327"/>
      <c r="V325" s="2327"/>
      <c r="W325" s="2327"/>
      <c r="X325" s="2327"/>
      <c r="Y325" s="1083"/>
      <c r="Z325" s="480"/>
      <c r="AA325" s="1083"/>
      <c r="AB325" s="1083"/>
      <c r="AC325" s="1083"/>
      <c r="AD325" s="1083"/>
      <c r="AE325" s="1083"/>
      <c r="AF325" s="1555"/>
      <c r="AG325" s="502"/>
      <c r="AH325" s="502"/>
      <c r="AI325" s="502"/>
      <c r="AJ325" s="502"/>
      <c r="AK325" s="1564">
        <v>11</v>
      </c>
    </row>
    <row r="326" spans="1:37" s="1564" customFormat="1" ht="11.45" customHeight="1">
      <c r="A326" s="914"/>
      <c r="B326" s="1559"/>
      <c r="C326" s="1559"/>
      <c r="D326" s="287"/>
      <c r="P326" s="2326"/>
      <c r="Q326" s="2326"/>
      <c r="R326" s="2326"/>
      <c r="S326" s="2326"/>
      <c r="T326" s="2326"/>
      <c r="U326" s="2327"/>
      <c r="V326" s="2327"/>
      <c r="W326" s="2327"/>
      <c r="X326" s="2327"/>
      <c r="Y326" s="1083"/>
      <c r="Z326" s="480"/>
      <c r="AA326" s="1083"/>
      <c r="AB326" s="1083"/>
      <c r="AC326" s="1083"/>
      <c r="AD326" s="1083"/>
      <c r="AE326" s="1083"/>
      <c r="AF326" s="1555"/>
      <c r="AG326" s="502"/>
      <c r="AH326" s="502"/>
      <c r="AI326" s="502"/>
      <c r="AJ326" s="502"/>
      <c r="AK326" s="1564">
        <v>11</v>
      </c>
    </row>
    <row r="327" spans="1:37" s="1564" customFormat="1" ht="11.45" customHeight="1">
      <c r="A327" s="914"/>
      <c r="B327" s="1559"/>
      <c r="C327" s="1559"/>
      <c r="D327" s="287"/>
      <c r="P327" s="2326"/>
      <c r="Q327" s="2326"/>
      <c r="R327" s="2326"/>
      <c r="S327" s="2326"/>
      <c r="T327" s="2326"/>
      <c r="U327" s="2327"/>
      <c r="V327" s="2327"/>
      <c r="W327" s="2327"/>
      <c r="X327" s="2327"/>
      <c r="Y327" s="1083"/>
      <c r="Z327" s="480"/>
      <c r="AA327" s="1083"/>
      <c r="AB327" s="1083"/>
      <c r="AC327" s="1083"/>
      <c r="AD327" s="1083"/>
      <c r="AE327" s="1083"/>
      <c r="AF327" s="1555"/>
      <c r="AG327" s="502"/>
      <c r="AH327" s="502"/>
      <c r="AI327" s="502"/>
      <c r="AJ327" s="502"/>
      <c r="AK327" s="1564">
        <v>11</v>
      </c>
    </row>
    <row r="328" spans="1:37" s="1564" customFormat="1" ht="11.45" customHeight="1">
      <c r="A328" s="914"/>
      <c r="B328" s="1559"/>
      <c r="C328" s="1559"/>
      <c r="D328" s="287"/>
      <c r="P328" s="2326"/>
      <c r="Q328" s="2326"/>
      <c r="R328" s="2326"/>
      <c r="S328" s="2326"/>
      <c r="T328" s="2326"/>
      <c r="U328" s="2327"/>
      <c r="V328" s="2327"/>
      <c r="W328" s="2327"/>
      <c r="X328" s="2327"/>
      <c r="Y328" s="1083"/>
      <c r="Z328" s="480"/>
      <c r="AA328" s="1083"/>
      <c r="AB328" s="1083"/>
      <c r="AC328" s="1083"/>
      <c r="AD328" s="1083"/>
      <c r="AE328" s="1083"/>
      <c r="AF328" s="1555"/>
      <c r="AG328" s="502"/>
      <c r="AH328" s="502"/>
      <c r="AI328" s="502"/>
      <c r="AJ328" s="502"/>
      <c r="AK328" s="1564">
        <v>11</v>
      </c>
    </row>
    <row r="329" spans="1:37" s="1564" customFormat="1" ht="11.45" customHeight="1">
      <c r="A329" s="914"/>
      <c r="B329" s="1559"/>
      <c r="C329" s="1559"/>
      <c r="D329" s="287"/>
      <c r="P329" s="2326"/>
      <c r="Q329" s="2326"/>
      <c r="R329" s="2326"/>
      <c r="S329" s="2326"/>
      <c r="T329" s="2326"/>
      <c r="U329" s="2327"/>
      <c r="V329" s="2327"/>
      <c r="W329" s="2327"/>
      <c r="X329" s="2327"/>
      <c r="Y329" s="1083"/>
      <c r="Z329" s="480"/>
      <c r="AA329" s="1083"/>
      <c r="AB329" s="1083"/>
      <c r="AC329" s="1083"/>
      <c r="AD329" s="1083"/>
      <c r="AE329" s="1083"/>
      <c r="AF329" s="1555"/>
      <c r="AG329" s="502"/>
      <c r="AH329" s="502"/>
      <c r="AI329" s="502"/>
      <c r="AJ329" s="502"/>
      <c r="AK329" s="1564">
        <v>11</v>
      </c>
    </row>
    <row r="330" spans="1:37" s="1564" customFormat="1" ht="11.45" customHeight="1">
      <c r="A330" s="914"/>
      <c r="B330" s="1559"/>
      <c r="C330" s="1559"/>
      <c r="D330" s="287"/>
      <c r="P330" s="2326"/>
      <c r="Q330" s="2326"/>
      <c r="R330" s="2326"/>
      <c r="S330" s="2326"/>
      <c r="T330" s="2326"/>
      <c r="U330" s="2327"/>
      <c r="V330" s="2327"/>
      <c r="W330" s="2327"/>
      <c r="X330" s="2327"/>
      <c r="Y330" s="1083"/>
      <c r="Z330" s="480"/>
      <c r="AA330" s="1083"/>
      <c r="AB330" s="1083"/>
      <c r="AC330" s="1083"/>
      <c r="AD330" s="1083"/>
      <c r="AE330" s="1083"/>
      <c r="AF330" s="1555"/>
      <c r="AG330" s="502"/>
      <c r="AH330" s="502"/>
      <c r="AI330" s="502"/>
      <c r="AJ330" s="502"/>
      <c r="AK330" s="1564">
        <v>11</v>
      </c>
    </row>
    <row r="331" spans="1:37" s="1564" customFormat="1" ht="11.45" customHeight="1">
      <c r="A331" s="914"/>
      <c r="B331" s="1559"/>
      <c r="C331" s="1559"/>
      <c r="D331" s="287"/>
      <c r="P331" s="2326"/>
      <c r="Q331" s="2326"/>
      <c r="R331" s="2326"/>
      <c r="S331" s="2326"/>
      <c r="T331" s="2326"/>
      <c r="U331" s="2327"/>
      <c r="V331" s="2327"/>
      <c r="W331" s="2327"/>
      <c r="X331" s="2327"/>
      <c r="Y331" s="1083"/>
      <c r="Z331" s="480"/>
      <c r="AA331" s="1083"/>
      <c r="AB331" s="1083"/>
      <c r="AC331" s="1083"/>
      <c r="AD331" s="1083"/>
      <c r="AE331" s="1083"/>
      <c r="AF331" s="1555"/>
      <c r="AG331" s="502"/>
      <c r="AH331" s="502"/>
      <c r="AI331" s="502"/>
      <c r="AJ331" s="502"/>
      <c r="AK331" s="1564">
        <v>11</v>
      </c>
    </row>
    <row r="332" spans="1:37" ht="11.45" customHeight="1">
      <c r="AK332" s="1554">
        <v>11</v>
      </c>
    </row>
    <row r="333" spans="1:37" ht="11.45" customHeight="1">
      <c r="AK333" s="1554">
        <v>11</v>
      </c>
    </row>
    <row r="334" spans="1:37" ht="11.45" customHeight="1">
      <c r="AK334" s="1554">
        <v>11</v>
      </c>
    </row>
    <row r="335" spans="1:37" ht="11.45" customHeight="1">
      <c r="A335" s="917"/>
      <c r="B335" s="1554"/>
      <c r="D335" s="1554"/>
      <c r="U335" s="2326"/>
      <c r="V335" s="2326"/>
      <c r="X335" s="2326"/>
      <c r="Y335" s="1554"/>
      <c r="Z335" s="1554"/>
      <c r="AA335" s="1554"/>
      <c r="AB335" s="1554"/>
      <c r="AC335" s="1554"/>
      <c r="AD335" s="1554"/>
      <c r="AE335" s="1554"/>
      <c r="AF335" s="1554"/>
      <c r="AG335" s="1554"/>
      <c r="AH335" s="1554"/>
      <c r="AI335" s="1554"/>
      <c r="AJ335" s="1554"/>
      <c r="AK335" s="1554">
        <v>11</v>
      </c>
    </row>
    <row r="336" spans="1:37" ht="11.45" customHeight="1">
      <c r="A336" s="917"/>
      <c r="B336" s="1554"/>
      <c r="D336" s="1554"/>
      <c r="U336" s="2326"/>
      <c r="V336" s="2326"/>
      <c r="X336" s="2326"/>
      <c r="Y336" s="1554"/>
      <c r="Z336" s="1554"/>
      <c r="AA336" s="1554"/>
      <c r="AB336" s="1554"/>
      <c r="AC336" s="1554"/>
      <c r="AD336" s="1554"/>
      <c r="AE336" s="1554"/>
      <c r="AF336" s="1554"/>
      <c r="AG336" s="1554"/>
      <c r="AH336" s="1554"/>
      <c r="AI336" s="1554"/>
      <c r="AJ336" s="1554"/>
      <c r="AK336" s="1554">
        <v>11</v>
      </c>
    </row>
    <row r="337" spans="1:37" ht="11.45" customHeight="1">
      <c r="A337" s="917"/>
      <c r="B337" s="1554"/>
      <c r="D337" s="1554"/>
      <c r="U337" s="2326"/>
      <c r="V337" s="2326"/>
      <c r="X337" s="2326"/>
      <c r="Y337" s="1554"/>
      <c r="Z337" s="1554"/>
      <c r="AA337" s="1554"/>
      <c r="AB337" s="1554"/>
      <c r="AC337" s="1554"/>
      <c r="AD337" s="1554"/>
      <c r="AE337" s="1554"/>
      <c r="AF337" s="1554"/>
      <c r="AG337" s="1554"/>
      <c r="AH337" s="1554"/>
      <c r="AI337" s="1554"/>
      <c r="AJ337" s="1554"/>
      <c r="AK337" s="1554">
        <v>11</v>
      </c>
    </row>
    <row r="338" spans="1:37" ht="11.45" customHeight="1">
      <c r="A338" s="917"/>
      <c r="B338" s="1554"/>
      <c r="D338" s="1554"/>
      <c r="U338" s="2326"/>
      <c r="V338" s="2326"/>
      <c r="X338" s="2326"/>
      <c r="Y338" s="1554"/>
      <c r="Z338" s="1554"/>
      <c r="AA338" s="1554"/>
      <c r="AB338" s="1554"/>
      <c r="AC338" s="1554"/>
      <c r="AD338" s="1554"/>
      <c r="AE338" s="1554"/>
      <c r="AF338" s="1554"/>
      <c r="AG338" s="1554"/>
      <c r="AH338" s="1554"/>
      <c r="AI338" s="1554"/>
      <c r="AJ338" s="1554"/>
      <c r="AK338" s="1554">
        <v>11</v>
      </c>
    </row>
    <row r="339" spans="1:37" ht="11.45" customHeight="1">
      <c r="A339" s="917"/>
      <c r="B339" s="1554"/>
      <c r="D339" s="1554"/>
      <c r="U339" s="2326"/>
      <c r="V339" s="2326"/>
      <c r="X339" s="2326"/>
      <c r="Y339" s="1554"/>
      <c r="Z339" s="1554"/>
      <c r="AA339" s="1554"/>
      <c r="AB339" s="1554"/>
      <c r="AC339" s="1554"/>
      <c r="AD339" s="1554"/>
      <c r="AE339" s="1554"/>
      <c r="AF339" s="1554"/>
      <c r="AG339" s="1554"/>
      <c r="AH339" s="1554"/>
      <c r="AI339" s="1554"/>
      <c r="AJ339" s="1554"/>
      <c r="AK339" s="1554">
        <v>11</v>
      </c>
    </row>
    <row r="340" spans="1:37" ht="11.45" customHeight="1">
      <c r="A340" s="917"/>
      <c r="B340" s="1554"/>
      <c r="D340" s="1554"/>
      <c r="U340" s="2326"/>
      <c r="V340" s="2326"/>
      <c r="X340" s="2326"/>
      <c r="Y340" s="1554"/>
      <c r="Z340" s="1554"/>
      <c r="AA340" s="1554"/>
      <c r="AB340" s="1554"/>
      <c r="AC340" s="1554"/>
      <c r="AD340" s="1554"/>
      <c r="AE340" s="1554"/>
      <c r="AF340" s="1554"/>
      <c r="AG340" s="1554"/>
      <c r="AH340" s="1554"/>
      <c r="AI340" s="1554"/>
      <c r="AJ340" s="1554"/>
      <c r="AK340" s="1554">
        <v>11</v>
      </c>
    </row>
    <row r="341" spans="1:37" ht="11.45" customHeight="1">
      <c r="A341" s="917"/>
      <c r="B341" s="1554"/>
      <c r="D341" s="1554"/>
      <c r="U341" s="2326"/>
      <c r="V341" s="2326"/>
      <c r="X341" s="2326"/>
      <c r="Y341" s="1554"/>
      <c r="Z341" s="1554"/>
      <c r="AA341" s="1554"/>
      <c r="AB341" s="1554"/>
      <c r="AC341" s="1554"/>
      <c r="AD341" s="1554"/>
      <c r="AE341" s="1554"/>
      <c r="AF341" s="1554"/>
      <c r="AG341" s="1554"/>
      <c r="AH341" s="1554"/>
      <c r="AI341" s="1554"/>
      <c r="AJ341" s="1554"/>
      <c r="AK341" s="1554">
        <v>11</v>
      </c>
    </row>
    <row r="342" spans="1:37" ht="11.45" customHeight="1">
      <c r="A342" s="917"/>
      <c r="B342" s="1554"/>
      <c r="D342" s="1554"/>
      <c r="U342" s="2326"/>
      <c r="V342" s="2326"/>
      <c r="X342" s="2326"/>
      <c r="Y342" s="1554"/>
      <c r="Z342" s="1554"/>
      <c r="AA342" s="1554"/>
      <c r="AB342" s="1554"/>
      <c r="AC342" s="1554"/>
      <c r="AD342" s="1554"/>
      <c r="AE342" s="1554"/>
      <c r="AF342" s="1554"/>
      <c r="AG342" s="1554"/>
      <c r="AH342" s="1554"/>
      <c r="AI342" s="1554"/>
      <c r="AJ342" s="1554"/>
      <c r="AK342" s="1554">
        <v>11</v>
      </c>
    </row>
    <row r="343" spans="1:37" ht="11.45" customHeight="1">
      <c r="A343" s="917"/>
      <c r="B343" s="1554"/>
      <c r="D343" s="1554"/>
      <c r="U343" s="2326"/>
      <c r="V343" s="2326"/>
      <c r="X343" s="2326"/>
      <c r="Y343" s="1554"/>
      <c r="Z343" s="1554"/>
      <c r="AA343" s="1554"/>
      <c r="AB343" s="1554"/>
      <c r="AC343" s="1554"/>
      <c r="AD343" s="1554"/>
      <c r="AE343" s="1554"/>
      <c r="AF343" s="1554"/>
      <c r="AG343" s="1554"/>
      <c r="AH343" s="1554"/>
      <c r="AI343" s="1554"/>
      <c r="AJ343" s="1554"/>
      <c r="AK343" s="1554">
        <v>11</v>
      </c>
    </row>
    <row r="344" spans="1:37" ht="11.45" customHeight="1">
      <c r="A344" s="917"/>
      <c r="B344" s="1554"/>
      <c r="D344" s="1554"/>
      <c r="U344" s="2326"/>
      <c r="V344" s="2326"/>
      <c r="X344" s="2326"/>
      <c r="Y344" s="1554"/>
      <c r="Z344" s="1554"/>
      <c r="AA344" s="1554"/>
      <c r="AB344" s="1554"/>
      <c r="AC344" s="1554"/>
      <c r="AD344" s="1554"/>
      <c r="AE344" s="1554"/>
      <c r="AF344" s="1554"/>
      <c r="AG344" s="1554"/>
      <c r="AH344" s="1554"/>
      <c r="AI344" s="1554"/>
      <c r="AJ344" s="1554"/>
      <c r="AK344" s="1554">
        <v>11</v>
      </c>
    </row>
    <row r="345" spans="1:37" ht="11.45" customHeight="1">
      <c r="A345" s="917"/>
      <c r="B345" s="1554"/>
      <c r="D345" s="1554"/>
      <c r="U345" s="2326"/>
      <c r="V345" s="2326"/>
      <c r="X345" s="2326"/>
      <c r="Y345" s="1554"/>
      <c r="Z345" s="1554"/>
      <c r="AA345" s="1554"/>
      <c r="AB345" s="1554"/>
      <c r="AC345" s="1554"/>
      <c r="AD345" s="1554"/>
      <c r="AE345" s="1554"/>
      <c r="AF345" s="1554"/>
      <c r="AG345" s="1554"/>
      <c r="AH345" s="1554"/>
      <c r="AI345" s="1554"/>
      <c r="AJ345" s="1554"/>
      <c r="AK345" s="1554">
        <v>11</v>
      </c>
    </row>
    <row r="346" spans="1:37" ht="11.25" hidden="1" customHeight="1">
      <c r="A346" s="914" t="s">
        <v>83</v>
      </c>
      <c r="B346" s="1083">
        <v>0</v>
      </c>
      <c r="C346" s="1559">
        <v>0</v>
      </c>
      <c r="D346" s="1558">
        <v>3</v>
      </c>
      <c r="E346" s="1554">
        <v>7</v>
      </c>
      <c r="F346" s="1554">
        <v>54</v>
      </c>
      <c r="G346" s="1554">
        <v>10</v>
      </c>
      <c r="H346" s="1554">
        <v>0</v>
      </c>
      <c r="I346" s="1554">
        <v>40</v>
      </c>
      <c r="J346" s="1558">
        <v>0</v>
      </c>
      <c r="K346" s="1558">
        <v>0</v>
      </c>
      <c r="L346" s="1558">
        <v>0</v>
      </c>
      <c r="M346" s="1558">
        <v>0</v>
      </c>
      <c r="N346" s="1558">
        <v>0</v>
      </c>
      <c r="O346" s="1554">
        <v>102</v>
      </c>
      <c r="P346" s="2326">
        <v>9</v>
      </c>
      <c r="Q346" s="2326">
        <v>5</v>
      </c>
      <c r="R346" s="2326">
        <v>3</v>
      </c>
      <c r="S346" s="2326">
        <v>3</v>
      </c>
      <c r="T346" s="2326">
        <v>3</v>
      </c>
      <c r="U346" s="2327">
        <v>3</v>
      </c>
      <c r="V346" s="2327">
        <v>3</v>
      </c>
      <c r="W346" s="2327">
        <v>10</v>
      </c>
      <c r="X346" s="2327">
        <v>34</v>
      </c>
      <c r="Y346" s="1083">
        <v>9</v>
      </c>
      <c r="Z346" s="480">
        <v>8</v>
      </c>
      <c r="AA346" s="1083">
        <v>8</v>
      </c>
      <c r="AB346" s="1083">
        <v>8</v>
      </c>
      <c r="AC346" s="1083">
        <v>8</v>
      </c>
      <c r="AD346" s="1083">
        <v>8</v>
      </c>
      <c r="AE346" s="1083">
        <v>8</v>
      </c>
      <c r="AF346" s="1555">
        <v>8</v>
      </c>
      <c r="AG346" s="1555">
        <v>8</v>
      </c>
      <c r="AH346" s="1555">
        <v>8</v>
      </c>
      <c r="AI346" s="1555">
        <v>8</v>
      </c>
      <c r="AJ346" s="1555">
        <v>8</v>
      </c>
      <c r="AK346" s="1554">
        <v>11</v>
      </c>
    </row>
  </sheetData>
  <sheetProtection formatColumns="0" formatRows="0" insertRows="0" deleteColumns="0" deleteRows="0" sort="0" autoFilter="0"/>
  <mergeCells count="22">
    <mergeCell ref="A151:A173"/>
    <mergeCell ref="E21:I21"/>
    <mergeCell ref="E22:I22"/>
    <mergeCell ref="A33:A64"/>
    <mergeCell ref="B34:B39"/>
    <mergeCell ref="A65:A67"/>
    <mergeCell ref="A91:A92"/>
    <mergeCell ref="A107:A115"/>
    <mergeCell ref="A116:A120"/>
    <mergeCell ref="A121:A123"/>
    <mergeCell ref="A124:A142"/>
    <mergeCell ref="A146:A150"/>
    <mergeCell ref="B40:B45"/>
    <mergeCell ref="B46:B51"/>
    <mergeCell ref="B52:B57"/>
    <mergeCell ref="B58:B63"/>
    <mergeCell ref="B2:B7"/>
    <mergeCell ref="O25:O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N7 H45:N45 H51:N51 H57:N57 H63:N63">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94:N94">
      <formula1>900</formula1>
    </dataValidation>
    <dataValidation type="textLength" operator="lessThanOrEqual" allowBlank="1" showInputMessage="1" showErrorMessage="1" errorTitle="Ошибка" error="Допускается ввод не более 900 символов!" sqref="G4 H34:N34 H39:N39 G42 G48 G54 G60">
      <formula1>900</formula1>
    </dataValidation>
    <dataValidation type="decimal" allowBlank="1" showErrorMessage="1" errorTitle="Ошибка" error="Допускается ввод только неотрицательных чисел!" sqref="H91:N91 H93:N93 H116:N119 H170:N170 H30:N30 H32:N33 H35:N38 H64:N89 H107:N111 H17:N17 H9:N13 H15:N15 H4:N6 H99:N99 H113:N114 H121:N134 H136:N150 H42:N44 H48:N50 H54:N56 H60:N62 H95:N95 H153:N158 H162:N16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40 F46 F52 F58">
      <formula1>kind_of_fuels</formula1>
    </dataValidation>
    <dataValidation type="list" allowBlank="1" showInputMessage="1" showErrorMessage="1" errorTitle="Ошибка" error="Выберите значение из списка" prompt="Выберите значение из списка" sqref="G118">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71:N173 H106:N106">
      <formula1>900</formula1>
    </dataValidation>
    <dataValidation type="decimal" allowBlank="1" showErrorMessage="1" errorTitle="Ошибка" error="Допускается ввод только действительных чисел!" sqref="H97:N98">
      <formula1>-9.99999999999999E+23</formula1>
      <formula2>9.99999999999999E+23</formula2>
    </dataValidation>
    <dataValidation type="decimal" allowBlank="1" showErrorMessage="1" errorTitle="Ошибка" error="Допускается ввод только действительных чисел!" sqref="H160:N160 H151:N151 H169:N169 H100:N105 H135:N135">
      <formula1>-9.99999999999999E+37</formula1>
      <formula2>9.99999999999999E+37</formula2>
    </dataValidation>
    <dataValidation type="decimal" allowBlank="1" showErrorMessage="1" errorTitle="Ошибка" error="Введите значение от 0 до 100%" sqref="H115:N115 H120:N120">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92:N92 H90:N90"/>
  </dataValidations>
  <hyperlinks>
    <hyperlink ref="I106" r:id="rId1"/>
    <hyperlink ref="J106" r:id="rId2"/>
    <hyperlink ref="K106" r:id="rId3"/>
    <hyperlink ref="L106" r:id="rId4"/>
    <hyperlink ref="M106" r:id="rId5"/>
    <hyperlink ref="N106" r:id="rId6"/>
  </hyperlinks>
  <pageMargins left="0.7" right="0.7" top="0.75" bottom="0.75" header="0.3" footer="0.3"/>
  <pageSetup paperSize="9" orientation="portrait" r:id="rId7"/>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198"/>
  <sheetViews>
    <sheetView showGridLines="0" topLeftCell="H44" zoomScale="90" workbookViewId="0">
      <selection activeCell="O186" sqref="O186"/>
    </sheetView>
  </sheetViews>
  <sheetFormatPr defaultColWidth="9.140625" defaultRowHeight="11.25" customHeight="1"/>
  <cols>
    <col min="1" max="1" width="14.7109375" style="871" hidden="1" customWidth="1"/>
    <col min="2" max="2" width="17" style="1555" hidden="1" customWidth="1"/>
    <col min="3" max="3" width="3" style="1558" customWidth="1"/>
    <col min="4" max="4" width="1.85546875" style="1558" hidden="1" customWidth="1"/>
    <col min="5" max="6" width="7" style="1558" customWidth="1"/>
    <col min="7" max="7" width="29" style="1558" customWidth="1"/>
    <col min="8" max="8" width="3.7109375" style="1558" customWidth="1"/>
    <col min="9" max="9" width="5" style="1558" customWidth="1"/>
    <col min="10" max="11" width="24" style="1558" customWidth="1"/>
    <col min="12" max="12" width="3" style="1558" customWidth="1"/>
    <col min="13" max="13" width="6" style="1558" customWidth="1"/>
    <col min="14" max="14" width="25" style="1558" customWidth="1"/>
    <col min="15" max="18" width="18" style="1558" customWidth="1"/>
    <col min="19" max="19" width="93" style="1558" customWidth="1"/>
    <col min="20" max="20" width="10" style="1558" customWidth="1"/>
    <col min="21" max="21" width="10" style="1565" customWidth="1"/>
    <col min="22" max="22" width="11" style="1565" customWidth="1"/>
    <col min="23" max="27" width="10" style="1555" customWidth="1"/>
    <col min="28" max="83" width="8" style="1558" customWidth="1"/>
    <col min="84" max="84" width="9.140625" style="1558"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3"/>
      <c r="L4" s="103"/>
      <c r="M4" s="103"/>
      <c r="CF4" s="441">
        <v>3</v>
      </c>
    </row>
    <row r="5" spans="1:84" ht="29.25" customHeight="1">
      <c r="C5" s="445"/>
      <c r="D5" s="984"/>
      <c r="E5" s="2490" t="str">
        <f>FHD20_NAME_FORM</f>
        <v>Форма 11. Информация о расходах на капитальный и текущий ремонт основных средств</v>
      </c>
      <c r="F5" s="2490"/>
      <c r="G5" s="2490"/>
      <c r="H5" s="2490"/>
      <c r="I5" s="2490"/>
      <c r="J5" s="2490"/>
      <c r="K5" s="2490"/>
      <c r="L5" s="549"/>
      <c r="M5" s="549"/>
      <c r="CF5" s="441">
        <v>28</v>
      </c>
    </row>
    <row r="6" spans="1:84" s="1558" customFormat="1" ht="16.899999999999999" customHeight="1">
      <c r="A6" s="546"/>
      <c r="B6" s="692"/>
      <c r="C6" s="445"/>
      <c r="D6" s="985"/>
      <c r="E6" s="2436" t="str">
        <f>IF(org=0,"Не определено",org)</f>
        <v>ПАО "ТГК-2"</v>
      </c>
      <c r="F6" s="2436"/>
      <c r="G6" s="2436"/>
      <c r="H6" s="2436"/>
      <c r="I6" s="2436"/>
      <c r="J6" s="2436"/>
      <c r="K6" s="2436"/>
      <c r="L6" s="549"/>
      <c r="M6" s="549"/>
      <c r="U6" s="547"/>
      <c r="V6" s="547"/>
      <c r="W6" s="548"/>
      <c r="X6" s="692"/>
      <c r="Y6" s="692"/>
      <c r="Z6" s="692"/>
      <c r="AA6" s="692"/>
      <c r="CF6" s="691">
        <v>16</v>
      </c>
    </row>
    <row r="7" spans="1:84" ht="11.45" customHeight="1">
      <c r="C7" s="445"/>
      <c r="D7" s="445"/>
      <c r="E7" s="445"/>
      <c r="F7" s="445"/>
      <c r="G7" s="458"/>
      <c r="H7" s="458"/>
      <c r="I7" s="458"/>
      <c r="J7" s="458"/>
      <c r="K7" s="550"/>
      <c r="L7" s="550"/>
      <c r="M7" s="550"/>
      <c r="R7" s="687"/>
      <c r="CF7" s="441">
        <v>11</v>
      </c>
    </row>
    <row r="8" spans="1:84" s="1564" customFormat="1" ht="4.1500000000000004" customHeight="1">
      <c r="A8" s="557"/>
      <c r="B8" s="502"/>
      <c r="C8" s="287"/>
      <c r="D8" s="287"/>
      <c r="E8" s="287"/>
      <c r="F8" s="287"/>
      <c r="G8" s="902"/>
      <c r="H8" s="902"/>
      <c r="I8" s="902"/>
      <c r="J8" s="902"/>
      <c r="K8" s="945"/>
      <c r="L8" s="945"/>
      <c r="M8" s="945"/>
      <c r="R8" s="946"/>
      <c r="U8" s="547"/>
      <c r="V8" s="547"/>
      <c r="W8" s="558"/>
      <c r="X8" s="502"/>
      <c r="Y8" s="502"/>
      <c r="Z8" s="502"/>
      <c r="AA8" s="502"/>
      <c r="CF8" s="432">
        <v>4</v>
      </c>
    </row>
    <row r="9" spans="1:84" ht="19.899999999999999" customHeight="1">
      <c r="D9" s="226"/>
      <c r="E9" s="2350" t="s">
        <v>319</v>
      </c>
      <c r="F9" s="2356"/>
      <c r="G9" s="2356"/>
      <c r="H9" s="2356"/>
      <c r="I9" s="2356"/>
      <c r="J9" s="2356"/>
      <c r="K9" s="2356"/>
      <c r="L9" s="2356"/>
      <c r="M9" s="2356"/>
      <c r="N9" s="2356"/>
      <c r="O9" s="2356"/>
      <c r="P9" s="2356"/>
      <c r="Q9" s="2356"/>
      <c r="R9" s="2349"/>
      <c r="S9" s="2371" t="s">
        <v>320</v>
      </c>
      <c r="T9" s="271"/>
      <c r="CF9" s="441">
        <v>19</v>
      </c>
    </row>
    <row r="10" spans="1:84" ht="48.2" customHeight="1">
      <c r="D10" s="487" t="s">
        <v>89</v>
      </c>
      <c r="E10" s="2371" t="s">
        <v>89</v>
      </c>
      <c r="F10" s="2371"/>
      <c r="G10" s="457" t="s">
        <v>321</v>
      </c>
      <c r="H10" s="2371" t="s">
        <v>89</v>
      </c>
      <c r="I10" s="2371"/>
      <c r="J10" s="457" t="s">
        <v>636</v>
      </c>
      <c r="K10" s="457" t="s">
        <v>637</v>
      </c>
      <c r="L10" s="2371" t="s">
        <v>89</v>
      </c>
      <c r="M10" s="2371"/>
      <c r="N10" s="457" t="s">
        <v>638</v>
      </c>
      <c r="O10" s="457" t="s">
        <v>639</v>
      </c>
      <c r="P10" s="457" t="s">
        <v>640</v>
      </c>
      <c r="Q10" s="457" t="s">
        <v>641</v>
      </c>
      <c r="R10" s="457" t="s">
        <v>642</v>
      </c>
      <c r="S10" s="2371"/>
      <c r="T10" s="271"/>
      <c r="CF10" s="441">
        <v>46</v>
      </c>
    </row>
    <row r="11" spans="1:84" s="1565" customFormat="1" ht="15" customHeight="1">
      <c r="A11" s="979"/>
      <c r="D11" s="952" t="s">
        <v>100</v>
      </c>
      <c r="E11" s="952"/>
      <c r="F11" s="952" t="s">
        <v>103</v>
      </c>
      <c r="G11" s="952" t="s">
        <v>91</v>
      </c>
      <c r="H11" s="952"/>
      <c r="I11" s="952" t="s">
        <v>92</v>
      </c>
      <c r="J11" s="952" t="s">
        <v>123</v>
      </c>
      <c r="K11" s="952" t="s">
        <v>93</v>
      </c>
      <c r="L11" s="952"/>
      <c r="M11" s="952" t="s">
        <v>94</v>
      </c>
      <c r="N11" s="952" t="s">
        <v>124</v>
      </c>
      <c r="O11" s="952" t="s">
        <v>169</v>
      </c>
      <c r="P11" s="952" t="s">
        <v>170</v>
      </c>
      <c r="Q11" s="952" t="s">
        <v>171</v>
      </c>
      <c r="R11" s="952" t="s">
        <v>172</v>
      </c>
      <c r="S11" s="952" t="s">
        <v>173</v>
      </c>
      <c r="U11" s="547"/>
      <c r="V11" s="547"/>
      <c r="W11" s="547"/>
      <c r="CF11" s="447">
        <v>0</v>
      </c>
    </row>
    <row r="12" spans="1:84" s="1558" customFormat="1" ht="1.1499999999999999" customHeight="1">
      <c r="A12" s="551"/>
      <c r="B12" s="298"/>
      <c r="D12" s="484"/>
      <c r="E12" s="283"/>
      <c r="F12" s="283"/>
      <c r="Q12" s="552"/>
      <c r="R12" s="553"/>
      <c r="T12" s="554"/>
      <c r="U12" s="555"/>
      <c r="V12" s="555"/>
      <c r="W12" s="556"/>
      <c r="X12" s="298"/>
      <c r="Y12" s="298"/>
      <c r="Z12" s="298"/>
      <c r="AA12" s="298"/>
      <c r="CF12" s="445">
        <v>1</v>
      </c>
    </row>
    <row r="13" spans="1:84" s="1564" customFormat="1" ht="1.1499999999999999" customHeight="1">
      <c r="A13" s="557"/>
      <c r="B13" s="502"/>
      <c r="D13" s="484" t="s">
        <v>395</v>
      </c>
      <c r="E13" s="496"/>
      <c r="F13" s="496"/>
      <c r="G13" s="496"/>
      <c r="H13" s="496"/>
      <c r="I13" s="496"/>
      <c r="J13" s="496"/>
      <c r="K13" s="496"/>
      <c r="L13" s="496"/>
      <c r="M13" s="496"/>
      <c r="N13" s="496"/>
      <c r="O13" s="496"/>
      <c r="P13" s="496"/>
      <c r="Q13" s="496"/>
      <c r="R13" s="496"/>
      <c r="T13" s="271"/>
      <c r="U13" s="547"/>
      <c r="V13" s="547"/>
      <c r="W13" s="558"/>
      <c r="X13" s="502"/>
      <c r="Y13" s="502"/>
      <c r="Z13" s="502"/>
      <c r="AA13" s="502"/>
      <c r="CF13" s="432">
        <v>1</v>
      </c>
    </row>
    <row r="14" spans="1:84" s="1767" customFormat="1" ht="15" customHeight="1">
      <c r="A14" s="559" t="s">
        <v>129</v>
      </c>
      <c r="B14" s="560"/>
      <c r="C14" s="560"/>
      <c r="D14" s="2620" t="s">
        <v>100</v>
      </c>
      <c r="E14" s="2613" t="s">
        <v>119</v>
      </c>
      <c r="F14" s="2614"/>
      <c r="G14" s="2615"/>
      <c r="H14" s="2616" t="str">
        <f>IF(A14="","",INDEX(DIFFERENTIATION_UNMERGE_VD,MATCH(A14,DIFFERENTIATION_ID_DIFF,0)))</f>
        <v>Производство тепловой энергии. Комбинированная выработка с уст. мощностью производства электрической энергии 25 МВт и более</v>
      </c>
      <c r="I14" s="2616"/>
      <c r="J14" s="2616"/>
      <c r="K14" s="2616"/>
      <c r="L14" s="2616"/>
      <c r="M14" s="2616"/>
      <c r="N14" s="2616"/>
      <c r="O14" s="2616"/>
      <c r="P14" s="2616"/>
      <c r="Q14" s="2616"/>
      <c r="R14" s="2616"/>
      <c r="S14" s="655"/>
      <c r="T14" s="652"/>
      <c r="U14" s="561"/>
      <c r="V14" s="561"/>
      <c r="W14" s="562"/>
      <c r="X14" s="562"/>
      <c r="Y14" s="562"/>
      <c r="Z14" s="562"/>
      <c r="AA14" s="563"/>
      <c r="AB14" s="564"/>
      <c r="AC14" s="2617"/>
      <c r="AD14" s="565"/>
      <c r="AE14" s="566" t="s">
        <v>22</v>
      </c>
      <c r="AF14" s="566"/>
      <c r="AG14" s="567" t="s">
        <v>643</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30">
        <v>0</v>
      </c>
    </row>
    <row r="15" spans="1:84" s="1767" customFormat="1" ht="15" customHeight="1">
      <c r="A15" s="559"/>
      <c r="B15" s="560"/>
      <c r="C15" s="560"/>
      <c r="D15" s="2621"/>
      <c r="E15" s="2613" t="s">
        <v>581</v>
      </c>
      <c r="F15" s="2614"/>
      <c r="G15" s="2615"/>
      <c r="H15" s="2616" t="str">
        <f>IF(A14="","",INDEX(DIFFERENTIATION_UNMERGE_AREA,MATCH(A14,DIFFERENTIATION_ID_DIFF,0)))</f>
        <v>Территория 1</v>
      </c>
      <c r="I15" s="2616"/>
      <c r="J15" s="2616"/>
      <c r="K15" s="2616"/>
      <c r="L15" s="2616"/>
      <c r="M15" s="2616"/>
      <c r="N15" s="2616"/>
      <c r="O15" s="2616"/>
      <c r="P15" s="2616"/>
      <c r="Q15" s="2616"/>
      <c r="R15" s="2616"/>
      <c r="S15" s="655"/>
      <c r="T15" s="652"/>
      <c r="U15" s="561"/>
      <c r="V15" s="561"/>
      <c r="W15" s="562"/>
      <c r="X15" s="562"/>
      <c r="Y15" s="562"/>
      <c r="Z15" s="562"/>
      <c r="AA15" s="563"/>
      <c r="AB15" s="564"/>
      <c r="AC15" s="2617"/>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30">
        <v>0</v>
      </c>
    </row>
    <row r="16" spans="1:84" s="1767" customFormat="1" ht="15" customHeight="1">
      <c r="A16" s="559"/>
      <c r="B16" s="560"/>
      <c r="C16" s="560"/>
      <c r="D16" s="2621"/>
      <c r="E16" s="2613" t="s">
        <v>582</v>
      </c>
      <c r="F16" s="2614"/>
      <c r="G16" s="2615"/>
      <c r="H16" s="2616" t="str">
        <f>IF(A14="","",INDEX(DIFFERENTIATION_UNMERGE_SYSTEM,MATCH(A14,DIFFERENTIATION_ID_DIFF,0)))</f>
        <v>без дифференциации</v>
      </c>
      <c r="I16" s="2616"/>
      <c r="J16" s="2616"/>
      <c r="K16" s="2616"/>
      <c r="L16" s="2616"/>
      <c r="M16" s="2616"/>
      <c r="N16" s="2616"/>
      <c r="O16" s="2616"/>
      <c r="P16" s="2616"/>
      <c r="Q16" s="2616"/>
      <c r="R16" s="2616"/>
      <c r="S16" s="655"/>
      <c r="T16" s="652"/>
      <c r="U16" s="561"/>
      <c r="V16" s="561"/>
      <c r="W16" s="562"/>
      <c r="X16" s="562"/>
      <c r="Y16" s="562"/>
      <c r="Z16" s="562"/>
      <c r="AA16" s="563"/>
      <c r="AB16" s="564"/>
      <c r="AC16" s="2617"/>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30">
        <v>0</v>
      </c>
    </row>
    <row r="17" spans="1:84" s="1767" customFormat="1" ht="22.5" customHeight="1">
      <c r="A17" s="569"/>
      <c r="B17" s="353"/>
      <c r="C17" s="348"/>
      <c r="D17" s="2621"/>
      <c r="E17" s="2618" t="s">
        <v>644</v>
      </c>
      <c r="F17" s="2618"/>
      <c r="G17" s="2618"/>
      <c r="H17" s="2618"/>
      <c r="I17" s="2618"/>
      <c r="J17" s="2618"/>
      <c r="K17" s="2618"/>
      <c r="L17" s="2618"/>
      <c r="M17" s="2618"/>
      <c r="N17" s="2618"/>
      <c r="O17" s="2618"/>
      <c r="P17" s="2618"/>
      <c r="Q17" s="494">
        <f>SUMIF(T18:T53,"i",Q18:Q53)</f>
        <v>54816.84</v>
      </c>
      <c r="R17" s="944"/>
      <c r="S17" s="825" t="s">
        <v>645</v>
      </c>
      <c r="T17" s="653" t="s">
        <v>646</v>
      </c>
      <c r="U17" s="2505">
        <v>1</v>
      </c>
      <c r="V17" s="2505" t="str">
        <f>INDEX(B_FHD_FLAG_INDEX_1,1,MATCH(A14,B_FHD_FLAG_DIFFERENTIATION,0))</f>
        <v>есть</v>
      </c>
      <c r="W17" s="353"/>
      <c r="X17" s="353"/>
      <c r="Y17" s="353"/>
      <c r="Z17" s="353"/>
      <c r="AA17" s="447"/>
      <c r="AB17" s="353"/>
      <c r="AC17" s="2617"/>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30">
        <v>0</v>
      </c>
    </row>
    <row r="18" spans="1:84" s="1767" customFormat="1" ht="11.25" hidden="1" customHeight="1">
      <c r="A18" s="570"/>
      <c r="B18" s="447"/>
      <c r="C18" s="447"/>
      <c r="D18" s="2621"/>
      <c r="E18" s="571"/>
      <c r="F18" s="571">
        <v>0</v>
      </c>
      <c r="G18" s="571"/>
      <c r="H18" s="571"/>
      <c r="I18" s="571"/>
      <c r="J18" s="571"/>
      <c r="K18" s="571"/>
      <c r="L18" s="571"/>
      <c r="M18" s="571"/>
      <c r="N18" s="571"/>
      <c r="O18" s="571"/>
      <c r="P18" s="571"/>
      <c r="Q18" s="571"/>
      <c r="R18" s="571"/>
      <c r="S18" s="572"/>
      <c r="T18" s="654"/>
      <c r="U18" s="2505"/>
      <c r="V18" s="2505"/>
      <c r="W18" s="447"/>
      <c r="X18" s="447"/>
      <c r="Y18" s="447"/>
      <c r="Z18" s="447"/>
      <c r="AA18" s="447"/>
      <c r="AB18" s="353"/>
      <c r="AC18" s="2617"/>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30">
        <v>0</v>
      </c>
    </row>
    <row r="19" spans="1:84" ht="45" customHeight="1">
      <c r="A19" s="1726"/>
      <c r="B19" s="1083"/>
      <c r="C19" s="348"/>
      <c r="D19" s="2609"/>
      <c r="E19" s="2599" t="s">
        <v>104</v>
      </c>
      <c r="F19" s="2365" t="s">
        <v>100</v>
      </c>
      <c r="G19" s="2602" t="s">
        <v>647</v>
      </c>
      <c r="H19" s="226"/>
      <c r="I19" s="573" t="s">
        <v>100</v>
      </c>
      <c r="J19" s="1727" t="s">
        <v>648</v>
      </c>
      <c r="K19" s="574" t="s">
        <v>563</v>
      </c>
      <c r="L19" s="2479" t="s">
        <v>563</v>
      </c>
      <c r="M19" s="2415"/>
      <c r="N19" s="574" t="s">
        <v>563</v>
      </c>
      <c r="O19" s="574" t="s">
        <v>563</v>
      </c>
      <c r="P19" s="574" t="s">
        <v>563</v>
      </c>
      <c r="Q19" s="575">
        <f>SUM(Q20:Q24)</f>
        <v>41099.53</v>
      </c>
      <c r="R19" s="575">
        <f>IF('Показатели ФХД'!I89=0,0,($Q$19/'Показатели ФХД'!I89)*100)</f>
        <v>75.225349667920383</v>
      </c>
      <c r="S19" s="2439"/>
      <c r="T19" s="653" t="s">
        <v>646</v>
      </c>
      <c r="U19" s="2609"/>
      <c r="V19" s="2609"/>
      <c r="W19" s="1767"/>
      <c r="X19" s="1767"/>
      <c r="Y19" s="1767"/>
      <c r="Z19" s="1767"/>
      <c r="AA19" s="1767"/>
      <c r="AB19" s="1767"/>
      <c r="AC19" s="2609"/>
      <c r="AD19" s="1767"/>
      <c r="AE19" s="1767"/>
      <c r="AF19" s="1767"/>
      <c r="AG19" s="1767"/>
      <c r="AH19" s="1767"/>
      <c r="AI19" s="1767"/>
      <c r="AJ19" s="1767"/>
      <c r="AK19" s="1767"/>
      <c r="AL19" s="1767"/>
      <c r="AM19" s="1767"/>
      <c r="AN19" s="1767"/>
      <c r="AO19" s="1767"/>
      <c r="AP19" s="1767"/>
      <c r="AQ19" s="1767"/>
      <c r="AR19" s="1767"/>
      <c r="AS19" s="1767"/>
      <c r="AT19" s="1767"/>
      <c r="AU19" s="1767"/>
      <c r="AV19" s="1767"/>
      <c r="AW19" s="1767"/>
      <c r="AX19" s="1767"/>
      <c r="AY19" s="1767"/>
      <c r="AZ19" s="1767"/>
      <c r="BA19" s="1767"/>
      <c r="BB19" s="1767"/>
      <c r="BC19" s="1767"/>
      <c r="BD19" s="1767"/>
      <c r="BE19" s="1767"/>
      <c r="BF19" s="1767"/>
      <c r="BG19" s="1767"/>
      <c r="BH19" s="1767"/>
      <c r="BI19" s="1767"/>
      <c r="BJ19" s="1767"/>
      <c r="BK19" s="1767"/>
      <c r="BL19" s="1767"/>
      <c r="BM19" s="1767"/>
      <c r="BN19" s="1767"/>
      <c r="BO19" s="1767"/>
      <c r="BP19" s="1767"/>
      <c r="BQ19" s="1767"/>
      <c r="BR19" s="1767"/>
      <c r="BS19" s="1767"/>
      <c r="BT19" s="1767"/>
      <c r="BU19" s="1767"/>
      <c r="BV19" s="1767"/>
      <c r="BW19" s="1767"/>
      <c r="BX19" s="1767"/>
      <c r="BY19" s="1767"/>
      <c r="BZ19" s="1767"/>
      <c r="CA19" s="1767"/>
      <c r="CB19" s="1767"/>
      <c r="CC19" s="1767"/>
      <c r="CD19" s="1767"/>
      <c r="CE19" s="1767"/>
      <c r="CF19" s="1767"/>
    </row>
    <row r="20" spans="1:84" ht="11.25" customHeight="1">
      <c r="A20" s="1726"/>
      <c r="B20" s="1083"/>
      <c r="C20" s="348"/>
      <c r="D20" s="2609"/>
      <c r="E20" s="2600"/>
      <c r="F20" s="2365">
        <v>0</v>
      </c>
      <c r="G20" s="2602"/>
      <c r="H20" s="2371"/>
      <c r="I20" s="2604" t="s">
        <v>649</v>
      </c>
      <c r="J20" s="2605" t="s">
        <v>588</v>
      </c>
      <c r="K20" s="2606" t="s">
        <v>650</v>
      </c>
      <c r="L20" s="576"/>
      <c r="M20" s="577" t="s">
        <v>100</v>
      </c>
      <c r="N20" s="1715" t="s">
        <v>651</v>
      </c>
      <c r="O20" s="578">
        <f>Q20</f>
        <v>13102.22</v>
      </c>
      <c r="P20" s="579" t="s">
        <v>569</v>
      </c>
      <c r="Q20" s="578">
        <v>13102.22</v>
      </c>
      <c r="R20" s="580">
        <v>0</v>
      </c>
      <c r="S20" s="2439"/>
      <c r="T20" s="653"/>
      <c r="U20" s="2609"/>
      <c r="V20" s="2609"/>
      <c r="W20" s="1767"/>
      <c r="X20" s="1767"/>
      <c r="Y20" s="1767"/>
      <c r="Z20" s="1767"/>
      <c r="AA20" s="1767"/>
      <c r="AB20" s="1767"/>
      <c r="AC20" s="2609"/>
      <c r="AD20" s="1767"/>
      <c r="AE20" s="1767"/>
      <c r="AF20" s="1767"/>
      <c r="AG20" s="1767"/>
      <c r="AH20" s="1767"/>
      <c r="AI20" s="1767"/>
      <c r="AJ20" s="1767"/>
      <c r="AK20" s="1767"/>
      <c r="AL20" s="1767"/>
      <c r="AM20" s="1767"/>
      <c r="AN20" s="1767"/>
      <c r="AO20" s="1767"/>
      <c r="AP20" s="1767"/>
      <c r="AQ20" s="1767"/>
      <c r="AR20" s="1767"/>
      <c r="AS20" s="1767"/>
      <c r="AT20" s="1767"/>
      <c r="AU20" s="1767"/>
      <c r="AV20" s="1767"/>
      <c r="AW20" s="1767"/>
      <c r="AX20" s="1767"/>
      <c r="AY20" s="1767"/>
      <c r="AZ20" s="1767"/>
      <c r="BA20" s="1767"/>
      <c r="BB20" s="1767"/>
      <c r="BC20" s="1767"/>
      <c r="BD20" s="1767"/>
      <c r="BE20" s="1767"/>
      <c r="BF20" s="1767"/>
      <c r="BG20" s="1767"/>
      <c r="BH20" s="1767"/>
      <c r="BI20" s="1767"/>
      <c r="BJ20" s="1767"/>
      <c r="BK20" s="1767"/>
      <c r="BL20" s="1767"/>
      <c r="BM20" s="1767"/>
      <c r="BN20" s="1767"/>
      <c r="BO20" s="1767"/>
      <c r="BP20" s="1767"/>
      <c r="BQ20" s="1767"/>
      <c r="BR20" s="1767"/>
      <c r="BS20" s="1767"/>
      <c r="BT20" s="1767"/>
      <c r="BU20" s="1767"/>
      <c r="BV20" s="1767"/>
      <c r="BW20" s="1767"/>
      <c r="BX20" s="1767"/>
      <c r="BY20" s="1767"/>
      <c r="BZ20" s="1767"/>
      <c r="CA20" s="1767"/>
      <c r="CB20" s="1767"/>
      <c r="CC20" s="1767"/>
      <c r="CD20" s="1767"/>
      <c r="CE20" s="1767"/>
      <c r="CF20" s="1767"/>
    </row>
    <row r="21" spans="1:84" ht="11.25" customHeight="1">
      <c r="A21" s="1726"/>
      <c r="B21" s="1083"/>
      <c r="C21" s="348"/>
      <c r="D21" s="2609"/>
      <c r="E21" s="2600"/>
      <c r="F21" s="2365">
        <v>0</v>
      </c>
      <c r="G21" s="2602"/>
      <c r="H21" s="2371"/>
      <c r="I21" s="2604"/>
      <c r="J21" s="2605"/>
      <c r="K21" s="2607"/>
      <c r="L21" s="581"/>
      <c r="M21" s="582"/>
      <c r="N21" s="583" t="s">
        <v>652</v>
      </c>
      <c r="O21" s="583"/>
      <c r="P21" s="583"/>
      <c r="Q21" s="583"/>
      <c r="R21" s="584"/>
      <c r="S21" s="2439"/>
      <c r="T21" s="653"/>
      <c r="U21" s="2609"/>
      <c r="V21" s="2609"/>
      <c r="W21" s="1767"/>
      <c r="X21" s="1767"/>
      <c r="Y21" s="1767"/>
      <c r="Z21" s="1767"/>
      <c r="AA21" s="1767"/>
      <c r="AB21" s="1767"/>
      <c r="AC21" s="2609"/>
      <c r="AD21" s="1767"/>
      <c r="AE21" s="1767"/>
      <c r="AF21" s="1767"/>
      <c r="AG21" s="1767"/>
      <c r="AH21" s="1767"/>
      <c r="AI21" s="1767"/>
      <c r="AJ21" s="1767"/>
      <c r="AK21" s="1767"/>
      <c r="AL21" s="1767"/>
      <c r="AM21" s="1767"/>
      <c r="AN21" s="1767"/>
      <c r="AO21" s="1767"/>
      <c r="AP21" s="1767"/>
      <c r="AQ21" s="1767"/>
      <c r="AR21" s="1767"/>
      <c r="AS21" s="1767"/>
      <c r="AT21" s="1767"/>
      <c r="AU21" s="1767"/>
      <c r="AV21" s="1767"/>
      <c r="AW21" s="1767"/>
      <c r="AX21" s="1767"/>
      <c r="AY21" s="1767"/>
      <c r="AZ21" s="1767"/>
      <c r="BA21" s="1767"/>
      <c r="BB21" s="1767"/>
      <c r="BC21" s="1767"/>
      <c r="BD21" s="1767"/>
      <c r="BE21" s="1767"/>
      <c r="BF21" s="1767"/>
      <c r="BG21" s="1767"/>
      <c r="BH21" s="1767"/>
      <c r="BI21" s="1767"/>
      <c r="BJ21" s="1767"/>
      <c r="BK21" s="1767"/>
      <c r="BL21" s="1767"/>
      <c r="BM21" s="1767"/>
      <c r="BN21" s="1767"/>
      <c r="BO21" s="1767"/>
      <c r="BP21" s="1767"/>
      <c r="BQ21" s="1767"/>
      <c r="BR21" s="1767"/>
      <c r="BS21" s="1767"/>
      <c r="BT21" s="1767"/>
      <c r="BU21" s="1767"/>
      <c r="BV21" s="1767"/>
      <c r="BW21" s="1767"/>
      <c r="BX21" s="1767"/>
      <c r="BY21" s="1767"/>
      <c r="BZ21" s="1767"/>
      <c r="CA21" s="1767"/>
      <c r="CB21" s="1767"/>
      <c r="CC21" s="1767"/>
      <c r="CD21" s="1767"/>
      <c r="CE21" s="1767"/>
      <c r="CF21" s="1767"/>
    </row>
    <row r="22" spans="1:84" ht="11.25" customHeight="1">
      <c r="A22" s="1726"/>
      <c r="B22" s="1083"/>
      <c r="C22" s="348"/>
      <c r="D22" s="2609"/>
      <c r="E22" s="2608"/>
      <c r="F22" s="2608"/>
      <c r="G22" s="2608"/>
      <c r="H22" s="2371" t="s">
        <v>104</v>
      </c>
      <c r="I22" s="2604" t="s">
        <v>653</v>
      </c>
      <c r="J22" s="2605" t="s">
        <v>588</v>
      </c>
      <c r="K22" s="2606" t="s">
        <v>654</v>
      </c>
      <c r="L22" s="576"/>
      <c r="M22" s="577" t="s">
        <v>100</v>
      </c>
      <c r="N22" s="1715" t="s">
        <v>655</v>
      </c>
      <c r="O22" s="578">
        <f>Q22</f>
        <v>27997.31</v>
      </c>
      <c r="P22" s="579" t="s">
        <v>569</v>
      </c>
      <c r="Q22" s="578">
        <v>27997.31</v>
      </c>
      <c r="R22" s="580">
        <v>0</v>
      </c>
      <c r="S22" s="2609"/>
      <c r="T22" s="653"/>
      <c r="U22" s="2609"/>
      <c r="V22" s="2609"/>
      <c r="W22" s="1767"/>
      <c r="X22" s="1767"/>
      <c r="Y22" s="1767"/>
      <c r="Z22" s="1767"/>
      <c r="AA22" s="1767"/>
      <c r="AB22" s="1767"/>
      <c r="AC22" s="2609"/>
      <c r="AD22" s="1767"/>
      <c r="AE22" s="1767"/>
      <c r="AF22" s="1767"/>
      <c r="AG22" s="1767"/>
      <c r="AH22" s="1767"/>
      <c r="AI22" s="1767"/>
      <c r="AJ22" s="1767"/>
      <c r="AK22" s="1767"/>
      <c r="AL22" s="1767"/>
      <c r="AM22" s="1767"/>
      <c r="AN22" s="1767"/>
      <c r="AO22" s="1767"/>
      <c r="AP22" s="1767"/>
      <c r="AQ22" s="1767"/>
      <c r="AR22" s="1767"/>
      <c r="AS22" s="1767"/>
      <c r="AT22" s="1767"/>
      <c r="AU22" s="1767"/>
      <c r="AV22" s="1767"/>
      <c r="AW22" s="1767"/>
      <c r="AX22" s="1767"/>
      <c r="AY22" s="1767"/>
      <c r="AZ22" s="1767"/>
      <c r="BA22" s="1767"/>
      <c r="BB22" s="1767"/>
      <c r="BC22" s="1767"/>
      <c r="BD22" s="1767"/>
      <c r="BE22" s="1767"/>
      <c r="BF22" s="1767"/>
      <c r="BG22" s="1767"/>
      <c r="BH22" s="1767"/>
      <c r="BI22" s="1767"/>
      <c r="BJ22" s="1767"/>
      <c r="BK22" s="1767"/>
      <c r="BL22" s="1767"/>
      <c r="BM22" s="1767"/>
      <c r="BN22" s="1767"/>
      <c r="BO22" s="1767"/>
      <c r="BP22" s="1767"/>
      <c r="BQ22" s="1767"/>
      <c r="BR22" s="1767"/>
      <c r="BS22" s="1767"/>
      <c r="BT22" s="1767"/>
      <c r="BU22" s="1767"/>
      <c r="BV22" s="1767"/>
      <c r="BW22" s="1767"/>
      <c r="BX22" s="1767"/>
      <c r="BY22" s="1767"/>
      <c r="BZ22" s="1767"/>
      <c r="CA22" s="1767"/>
      <c r="CB22" s="1767"/>
      <c r="CC22" s="1767"/>
      <c r="CD22" s="1767"/>
      <c r="CE22" s="1767"/>
      <c r="CF22" s="1767"/>
    </row>
    <row r="23" spans="1:84" ht="11.25" customHeight="1">
      <c r="A23" s="1726"/>
      <c r="B23" s="1083"/>
      <c r="C23" s="348"/>
      <c r="D23" s="2609"/>
      <c r="E23" s="2608"/>
      <c r="F23" s="2608"/>
      <c r="G23" s="2608"/>
      <c r="H23" s="2371"/>
      <c r="I23" s="2604" t="s">
        <v>649</v>
      </c>
      <c r="J23" s="2605"/>
      <c r="K23" s="2607"/>
      <c r="L23" s="581"/>
      <c r="M23" s="582"/>
      <c r="N23" s="583" t="s">
        <v>652</v>
      </c>
      <c r="O23" s="583"/>
      <c r="P23" s="583"/>
      <c r="Q23" s="583"/>
      <c r="R23" s="584"/>
      <c r="S23" s="2609"/>
      <c r="T23" s="653"/>
      <c r="U23" s="2609"/>
      <c r="V23" s="2609"/>
      <c r="W23" s="1767"/>
      <c r="X23" s="1767"/>
      <c r="Y23" s="1767"/>
      <c r="Z23" s="1767"/>
      <c r="AA23" s="1767"/>
      <c r="AB23" s="1767"/>
      <c r="AC23" s="2609"/>
      <c r="AD23" s="1767"/>
      <c r="AE23" s="1767"/>
      <c r="AF23" s="1767"/>
      <c r="AG23" s="1767"/>
      <c r="AH23" s="1767"/>
      <c r="AI23" s="1767"/>
      <c r="AJ23" s="1767"/>
      <c r="AK23" s="1767"/>
      <c r="AL23" s="1767"/>
      <c r="AM23" s="1767"/>
      <c r="AN23" s="1767"/>
      <c r="AO23" s="1767"/>
      <c r="AP23" s="1767"/>
      <c r="AQ23" s="1767"/>
      <c r="AR23" s="1767"/>
      <c r="AS23" s="1767"/>
      <c r="AT23" s="1767"/>
      <c r="AU23" s="1767"/>
      <c r="AV23" s="1767"/>
      <c r="AW23" s="1767"/>
      <c r="AX23" s="1767"/>
      <c r="AY23" s="1767"/>
      <c r="AZ23" s="1767"/>
      <c r="BA23" s="1767"/>
      <c r="BB23" s="1767"/>
      <c r="BC23" s="1767"/>
      <c r="BD23" s="1767"/>
      <c r="BE23" s="1767"/>
      <c r="BF23" s="1767"/>
      <c r="BG23" s="1767"/>
      <c r="BH23" s="1767"/>
      <c r="BI23" s="1767"/>
      <c r="BJ23" s="1767"/>
      <c r="BK23" s="1767"/>
      <c r="BL23" s="1767"/>
      <c r="BM23" s="1767"/>
      <c r="BN23" s="1767"/>
      <c r="BO23" s="1767"/>
      <c r="BP23" s="1767"/>
      <c r="BQ23" s="1767"/>
      <c r="BR23" s="1767"/>
      <c r="BS23" s="1767"/>
      <c r="BT23" s="1767"/>
      <c r="BU23" s="1767"/>
      <c r="BV23" s="1767"/>
      <c r="BW23" s="1767"/>
      <c r="BX23" s="1767"/>
      <c r="BY23" s="1767"/>
      <c r="BZ23" s="1767"/>
      <c r="CA23" s="1767"/>
      <c r="CB23" s="1767"/>
      <c r="CC23" s="1767"/>
      <c r="CD23" s="1767"/>
      <c r="CE23" s="1767"/>
      <c r="CF23" s="1767"/>
    </row>
    <row r="24" spans="1:84" ht="11.25" customHeight="1">
      <c r="A24" s="1726"/>
      <c r="B24" s="1083"/>
      <c r="C24" s="348"/>
      <c r="D24" s="2609"/>
      <c r="E24" s="2601"/>
      <c r="F24" s="2365">
        <v>0</v>
      </c>
      <c r="G24" s="2603"/>
      <c r="H24" s="581" t="s">
        <v>22</v>
      </c>
      <c r="I24" s="582"/>
      <c r="J24" s="583" t="s">
        <v>656</v>
      </c>
      <c r="K24" s="583"/>
      <c r="L24" s="583"/>
      <c r="M24" s="583"/>
      <c r="N24" s="583"/>
      <c r="O24" s="583"/>
      <c r="P24" s="583"/>
      <c r="Q24" s="583"/>
      <c r="R24" s="584"/>
      <c r="S24" s="2439"/>
      <c r="T24" s="653"/>
      <c r="U24" s="2609"/>
      <c r="V24" s="2609"/>
      <c r="W24" s="1767"/>
      <c r="X24" s="1767"/>
      <c r="Y24" s="1767"/>
      <c r="Z24" s="1767"/>
      <c r="AA24" s="1767"/>
      <c r="AB24" s="1767"/>
      <c r="AC24" s="2609"/>
      <c r="AD24" s="1767"/>
      <c r="AE24" s="1767"/>
      <c r="AF24" s="1767"/>
      <c r="AG24" s="1767"/>
      <c r="AH24" s="1767"/>
      <c r="AI24" s="1767"/>
      <c r="AJ24" s="1767"/>
      <c r="AK24" s="1767"/>
      <c r="AL24" s="1767"/>
      <c r="AM24" s="1767"/>
      <c r="AN24" s="1767"/>
      <c r="AO24" s="1767"/>
      <c r="AP24" s="1767"/>
      <c r="AQ24" s="1767"/>
      <c r="AR24" s="1767"/>
      <c r="AS24" s="1767"/>
      <c r="AT24" s="1767"/>
      <c r="AU24" s="1767"/>
      <c r="AV24" s="1767"/>
      <c r="AW24" s="1767"/>
      <c r="AX24" s="1767"/>
      <c r="AY24" s="1767"/>
      <c r="AZ24" s="1767"/>
      <c r="BA24" s="1767"/>
      <c r="BB24" s="1767"/>
      <c r="BC24" s="1767"/>
      <c r="BD24" s="1767"/>
      <c r="BE24" s="1767"/>
      <c r="BF24" s="1767"/>
      <c r="BG24" s="1767"/>
      <c r="BH24" s="1767"/>
      <c r="BI24" s="1767"/>
      <c r="BJ24" s="1767"/>
      <c r="BK24" s="1767"/>
      <c r="BL24" s="1767"/>
      <c r="BM24" s="1767"/>
      <c r="BN24" s="1767"/>
      <c r="BO24" s="1767"/>
      <c r="BP24" s="1767"/>
      <c r="BQ24" s="1767"/>
      <c r="BR24" s="1767"/>
      <c r="BS24" s="1767"/>
      <c r="BT24" s="1767"/>
      <c r="BU24" s="1767"/>
      <c r="BV24" s="1767"/>
      <c r="BW24" s="1767"/>
      <c r="BX24" s="1767"/>
      <c r="BY24" s="1767"/>
      <c r="BZ24" s="1767"/>
      <c r="CA24" s="1767"/>
      <c r="CB24" s="1767"/>
      <c r="CC24" s="1767"/>
      <c r="CD24" s="1767"/>
      <c r="CE24" s="1767"/>
      <c r="CF24" s="1767"/>
    </row>
    <row r="25" spans="1:84" ht="45" customHeight="1">
      <c r="A25" s="1726"/>
      <c r="B25" s="1083"/>
      <c r="C25" s="348"/>
      <c r="D25" s="2609"/>
      <c r="E25" s="2599" t="s">
        <v>104</v>
      </c>
      <c r="F25" s="2365" t="s">
        <v>103</v>
      </c>
      <c r="G25" s="2602" t="s">
        <v>657</v>
      </c>
      <c r="H25" s="226"/>
      <c r="I25" s="573" t="s">
        <v>100</v>
      </c>
      <c r="J25" s="1727" t="s">
        <v>648</v>
      </c>
      <c r="K25" s="574" t="s">
        <v>563</v>
      </c>
      <c r="L25" s="2479" t="s">
        <v>563</v>
      </c>
      <c r="M25" s="2415"/>
      <c r="N25" s="574" t="s">
        <v>563</v>
      </c>
      <c r="O25" s="574" t="s">
        <v>563</v>
      </c>
      <c r="P25" s="574" t="s">
        <v>563</v>
      </c>
      <c r="Q25" s="575">
        <f>SUM(Q26:Q28)</f>
        <v>4238.3100000000004</v>
      </c>
      <c r="R25" s="575">
        <f>IF('Показатели ФХД'!I89=0,0,($Q$25/'Показатели ФХД'!I89)*100)</f>
        <v>7.7574695319154188</v>
      </c>
      <c r="S25" s="2439"/>
      <c r="T25" s="653" t="s">
        <v>646</v>
      </c>
      <c r="U25" s="2609"/>
      <c r="V25" s="2609"/>
      <c r="W25" s="1767"/>
      <c r="X25" s="1767"/>
      <c r="Y25" s="1767"/>
      <c r="Z25" s="1767"/>
      <c r="AA25" s="1767"/>
      <c r="AB25" s="1767"/>
      <c r="AC25" s="2609"/>
      <c r="AD25" s="1767"/>
      <c r="AE25" s="1767"/>
      <c r="AF25" s="1767"/>
      <c r="AG25" s="1767"/>
      <c r="AH25" s="1767"/>
      <c r="AI25" s="1767"/>
      <c r="AJ25" s="1767"/>
      <c r="AK25" s="1767"/>
      <c r="AL25" s="1767"/>
      <c r="AM25" s="1767"/>
      <c r="AN25" s="1767"/>
      <c r="AO25" s="1767"/>
      <c r="AP25" s="1767"/>
      <c r="AQ25" s="1767"/>
      <c r="AR25" s="1767"/>
      <c r="AS25" s="1767"/>
      <c r="AT25" s="1767"/>
      <c r="AU25" s="1767"/>
      <c r="AV25" s="1767"/>
      <c r="AW25" s="1767"/>
      <c r="AX25" s="1767"/>
      <c r="AY25" s="1767"/>
      <c r="AZ25" s="1767"/>
      <c r="BA25" s="1767"/>
      <c r="BB25" s="1767"/>
      <c r="BC25" s="1767"/>
      <c r="BD25" s="1767"/>
      <c r="BE25" s="1767"/>
      <c r="BF25" s="1767"/>
      <c r="BG25" s="1767"/>
      <c r="BH25" s="1767"/>
      <c r="BI25" s="1767"/>
      <c r="BJ25" s="1767"/>
      <c r="BK25" s="1767"/>
      <c r="BL25" s="1767"/>
      <c r="BM25" s="1767"/>
      <c r="BN25" s="1767"/>
      <c r="BO25" s="1767"/>
      <c r="BP25" s="1767"/>
      <c r="BQ25" s="1767"/>
      <c r="BR25" s="1767"/>
      <c r="BS25" s="1767"/>
      <c r="BT25" s="1767"/>
      <c r="BU25" s="1767"/>
      <c r="BV25" s="1767"/>
      <c r="BW25" s="1767"/>
      <c r="BX25" s="1767"/>
      <c r="BY25" s="1767"/>
      <c r="BZ25" s="1767"/>
      <c r="CA25" s="1767"/>
      <c r="CB25" s="1767"/>
      <c r="CC25" s="1767"/>
      <c r="CD25" s="1767"/>
      <c r="CE25" s="1767"/>
      <c r="CF25" s="1767"/>
    </row>
    <row r="26" spans="1:84" ht="11.25" customHeight="1">
      <c r="A26" s="1726"/>
      <c r="B26" s="1083"/>
      <c r="C26" s="348"/>
      <c r="D26" s="2609"/>
      <c r="E26" s="2600"/>
      <c r="F26" s="2365" t="s">
        <v>100</v>
      </c>
      <c r="G26" s="2602"/>
      <c r="H26" s="2371"/>
      <c r="I26" s="2604" t="s">
        <v>649</v>
      </c>
      <c r="J26" s="2605" t="s">
        <v>658</v>
      </c>
      <c r="K26" s="2606" t="s">
        <v>659</v>
      </c>
      <c r="L26" s="576"/>
      <c r="M26" s="577" t="s">
        <v>100</v>
      </c>
      <c r="N26" s="1715" t="s">
        <v>660</v>
      </c>
      <c r="O26" s="578">
        <f>Q26</f>
        <v>4238.3100000000004</v>
      </c>
      <c r="P26" s="579" t="s">
        <v>569</v>
      </c>
      <c r="Q26" s="578">
        <v>4238.3100000000004</v>
      </c>
      <c r="R26" s="580">
        <v>0</v>
      </c>
      <c r="S26" s="2439"/>
      <c r="T26" s="653"/>
      <c r="U26" s="2609"/>
      <c r="V26" s="2609"/>
      <c r="W26" s="1767"/>
      <c r="X26" s="1767"/>
      <c r="Y26" s="1767"/>
      <c r="Z26" s="1767"/>
      <c r="AA26" s="1767"/>
      <c r="AB26" s="1767"/>
      <c r="AC26" s="2609"/>
      <c r="AD26" s="1767"/>
      <c r="AE26" s="1767"/>
      <c r="AF26" s="1767"/>
      <c r="AG26" s="1767"/>
      <c r="AH26" s="1767"/>
      <c r="AI26" s="1767"/>
      <c r="AJ26" s="1767"/>
      <c r="AK26" s="1767"/>
      <c r="AL26" s="1767"/>
      <c r="AM26" s="1767"/>
      <c r="AN26" s="1767"/>
      <c r="AO26" s="1767"/>
      <c r="AP26" s="1767"/>
      <c r="AQ26" s="1767"/>
      <c r="AR26" s="1767"/>
      <c r="AS26" s="1767"/>
      <c r="AT26" s="1767"/>
      <c r="AU26" s="1767"/>
      <c r="AV26" s="1767"/>
      <c r="AW26" s="1767"/>
      <c r="AX26" s="1767"/>
      <c r="AY26" s="1767"/>
      <c r="AZ26" s="1767"/>
      <c r="BA26" s="1767"/>
      <c r="BB26" s="1767"/>
      <c r="BC26" s="1767"/>
      <c r="BD26" s="1767"/>
      <c r="BE26" s="1767"/>
      <c r="BF26" s="1767"/>
      <c r="BG26" s="1767"/>
      <c r="BH26" s="1767"/>
      <c r="BI26" s="1767"/>
      <c r="BJ26" s="1767"/>
      <c r="BK26" s="1767"/>
      <c r="BL26" s="1767"/>
      <c r="BM26" s="1767"/>
      <c r="BN26" s="1767"/>
      <c r="BO26" s="1767"/>
      <c r="BP26" s="1767"/>
      <c r="BQ26" s="1767"/>
      <c r="BR26" s="1767"/>
      <c r="BS26" s="1767"/>
      <c r="BT26" s="1767"/>
      <c r="BU26" s="1767"/>
      <c r="BV26" s="1767"/>
      <c r="BW26" s="1767"/>
      <c r="BX26" s="1767"/>
      <c r="BY26" s="1767"/>
      <c r="BZ26" s="1767"/>
      <c r="CA26" s="1767"/>
      <c r="CB26" s="1767"/>
      <c r="CC26" s="1767"/>
      <c r="CD26" s="1767"/>
      <c r="CE26" s="1767"/>
      <c r="CF26" s="1767"/>
    </row>
    <row r="27" spans="1:84" ht="11.25" customHeight="1">
      <c r="A27" s="1726"/>
      <c r="B27" s="1083"/>
      <c r="C27" s="348"/>
      <c r="D27" s="2609"/>
      <c r="E27" s="2600"/>
      <c r="F27" s="2365" t="s">
        <v>100</v>
      </c>
      <c r="G27" s="2602"/>
      <c r="H27" s="2371"/>
      <c r="I27" s="2604"/>
      <c r="J27" s="2605"/>
      <c r="K27" s="2607"/>
      <c r="L27" s="581"/>
      <c r="M27" s="582"/>
      <c r="N27" s="583" t="s">
        <v>652</v>
      </c>
      <c r="O27" s="583"/>
      <c r="P27" s="583"/>
      <c r="Q27" s="583"/>
      <c r="R27" s="584"/>
      <c r="S27" s="2439"/>
      <c r="T27" s="653"/>
      <c r="U27" s="2609"/>
      <c r="V27" s="2609"/>
      <c r="W27" s="1767"/>
      <c r="X27" s="1767"/>
      <c r="Y27" s="1767"/>
      <c r="Z27" s="1767"/>
      <c r="AA27" s="1767"/>
      <c r="AB27" s="1767"/>
      <c r="AC27" s="2609"/>
      <c r="AD27" s="1767"/>
      <c r="AE27" s="1767"/>
      <c r="AF27" s="1767"/>
      <c r="AG27" s="1767"/>
      <c r="AH27" s="1767"/>
      <c r="AI27" s="1767"/>
      <c r="AJ27" s="1767"/>
      <c r="AK27" s="1767"/>
      <c r="AL27" s="1767"/>
      <c r="AM27" s="1767"/>
      <c r="AN27" s="1767"/>
      <c r="AO27" s="1767"/>
      <c r="AP27" s="1767"/>
      <c r="AQ27" s="1767"/>
      <c r="AR27" s="1767"/>
      <c r="AS27" s="1767"/>
      <c r="AT27" s="1767"/>
      <c r="AU27" s="1767"/>
      <c r="AV27" s="1767"/>
      <c r="AW27" s="1767"/>
      <c r="AX27" s="1767"/>
      <c r="AY27" s="1767"/>
      <c r="AZ27" s="1767"/>
      <c r="BA27" s="1767"/>
      <c r="BB27" s="1767"/>
      <c r="BC27" s="1767"/>
      <c r="BD27" s="1767"/>
      <c r="BE27" s="1767"/>
      <c r="BF27" s="1767"/>
      <c r="BG27" s="1767"/>
      <c r="BH27" s="1767"/>
      <c r="BI27" s="1767"/>
      <c r="BJ27" s="1767"/>
      <c r="BK27" s="1767"/>
      <c r="BL27" s="1767"/>
      <c r="BM27" s="1767"/>
      <c r="BN27" s="1767"/>
      <c r="BO27" s="1767"/>
      <c r="BP27" s="1767"/>
      <c r="BQ27" s="1767"/>
      <c r="BR27" s="1767"/>
      <c r="BS27" s="1767"/>
      <c r="BT27" s="1767"/>
      <c r="BU27" s="1767"/>
      <c r="BV27" s="1767"/>
      <c r="BW27" s="1767"/>
      <c r="BX27" s="1767"/>
      <c r="BY27" s="1767"/>
      <c r="BZ27" s="1767"/>
      <c r="CA27" s="1767"/>
      <c r="CB27" s="1767"/>
      <c r="CC27" s="1767"/>
      <c r="CD27" s="1767"/>
      <c r="CE27" s="1767"/>
      <c r="CF27" s="1767"/>
    </row>
    <row r="28" spans="1:84" ht="11.25" customHeight="1">
      <c r="A28" s="1726"/>
      <c r="B28" s="1083"/>
      <c r="C28" s="348"/>
      <c r="D28" s="2609"/>
      <c r="E28" s="2601"/>
      <c r="F28" s="2365" t="s">
        <v>100</v>
      </c>
      <c r="G28" s="2603"/>
      <c r="H28" s="581" t="s">
        <v>22</v>
      </c>
      <c r="I28" s="582"/>
      <c r="J28" s="583" t="s">
        <v>656</v>
      </c>
      <c r="K28" s="583"/>
      <c r="L28" s="583"/>
      <c r="M28" s="583"/>
      <c r="N28" s="583"/>
      <c r="O28" s="583"/>
      <c r="P28" s="583"/>
      <c r="Q28" s="583"/>
      <c r="R28" s="584"/>
      <c r="S28" s="2439"/>
      <c r="T28" s="653"/>
      <c r="U28" s="2609"/>
      <c r="V28" s="2609"/>
      <c r="W28" s="1767"/>
      <c r="X28" s="1767"/>
      <c r="Y28" s="1767"/>
      <c r="Z28" s="1767"/>
      <c r="AA28" s="1767"/>
      <c r="AB28" s="1767"/>
      <c r="AC28" s="2609"/>
      <c r="AD28" s="1767"/>
      <c r="AE28" s="1767"/>
      <c r="AF28" s="1767"/>
      <c r="AG28" s="1767"/>
      <c r="AH28" s="1767"/>
      <c r="AI28" s="1767"/>
      <c r="AJ28" s="1767"/>
      <c r="AK28" s="1767"/>
      <c r="AL28" s="1767"/>
      <c r="AM28" s="1767"/>
      <c r="AN28" s="1767"/>
      <c r="AO28" s="1767"/>
      <c r="AP28" s="1767"/>
      <c r="AQ28" s="1767"/>
      <c r="AR28" s="1767"/>
      <c r="AS28" s="1767"/>
      <c r="AT28" s="1767"/>
      <c r="AU28" s="1767"/>
      <c r="AV28" s="1767"/>
      <c r="AW28" s="1767"/>
      <c r="AX28" s="1767"/>
      <c r="AY28" s="1767"/>
      <c r="AZ28" s="1767"/>
      <c r="BA28" s="1767"/>
      <c r="BB28" s="1767"/>
      <c r="BC28" s="1767"/>
      <c r="BD28" s="1767"/>
      <c r="BE28" s="1767"/>
      <c r="BF28" s="1767"/>
      <c r="BG28" s="1767"/>
      <c r="BH28" s="1767"/>
      <c r="BI28" s="1767"/>
      <c r="BJ28" s="1767"/>
      <c r="BK28" s="1767"/>
      <c r="BL28" s="1767"/>
      <c r="BM28" s="1767"/>
      <c r="BN28" s="1767"/>
      <c r="BO28" s="1767"/>
      <c r="BP28" s="1767"/>
      <c r="BQ28" s="1767"/>
      <c r="BR28" s="1767"/>
      <c r="BS28" s="1767"/>
      <c r="BT28" s="1767"/>
      <c r="BU28" s="1767"/>
      <c r="BV28" s="1767"/>
      <c r="BW28" s="1767"/>
      <c r="BX28" s="1767"/>
      <c r="BY28" s="1767"/>
      <c r="BZ28" s="1767"/>
      <c r="CA28" s="1767"/>
      <c r="CB28" s="1767"/>
      <c r="CC28" s="1767"/>
      <c r="CD28" s="1767"/>
      <c r="CE28" s="1767"/>
      <c r="CF28" s="1767"/>
    </row>
    <row r="29" spans="1:84" ht="45" customHeight="1">
      <c r="A29" s="1726"/>
      <c r="B29" s="1083"/>
      <c r="C29" s="348"/>
      <c r="D29" s="2609"/>
      <c r="E29" s="2599" t="s">
        <v>104</v>
      </c>
      <c r="F29" s="2365" t="s">
        <v>91</v>
      </c>
      <c r="G29" s="2602" t="s">
        <v>661</v>
      </c>
      <c r="H29" s="226"/>
      <c r="I29" s="573" t="s">
        <v>100</v>
      </c>
      <c r="J29" s="1727" t="s">
        <v>648</v>
      </c>
      <c r="K29" s="574" t="s">
        <v>563</v>
      </c>
      <c r="L29" s="2479" t="s">
        <v>563</v>
      </c>
      <c r="M29" s="2415"/>
      <c r="N29" s="574" t="s">
        <v>563</v>
      </c>
      <c r="O29" s="574" t="s">
        <v>563</v>
      </c>
      <c r="P29" s="574" t="s">
        <v>563</v>
      </c>
      <c r="Q29" s="575">
        <f>SUM(Q30:Q34)</f>
        <v>4330.46</v>
      </c>
      <c r="R29" s="575">
        <f>IF('Показатели ФХД'!I89=0,0,($Q$29/'Показатели ФХД'!I89)*100)</f>
        <v>7.9261336497751316</v>
      </c>
      <c r="S29" s="2439"/>
      <c r="T29" s="653" t="s">
        <v>646</v>
      </c>
      <c r="U29" s="2609"/>
      <c r="V29" s="2609"/>
      <c r="W29" s="1767"/>
      <c r="X29" s="1767"/>
      <c r="Y29" s="1767"/>
      <c r="Z29" s="1767"/>
      <c r="AA29" s="1767"/>
      <c r="AB29" s="1767"/>
      <c r="AC29" s="2609"/>
      <c r="AD29" s="1767"/>
      <c r="AE29" s="1767"/>
      <c r="AF29" s="1767"/>
      <c r="AG29" s="1767"/>
      <c r="AH29" s="1767"/>
      <c r="AI29" s="1767"/>
      <c r="AJ29" s="1767"/>
      <c r="AK29" s="1767"/>
      <c r="AL29" s="1767"/>
      <c r="AM29" s="1767"/>
      <c r="AN29" s="1767"/>
      <c r="AO29" s="1767"/>
      <c r="AP29" s="1767"/>
      <c r="AQ29" s="1767"/>
      <c r="AR29" s="1767"/>
      <c r="AS29" s="1767"/>
      <c r="AT29" s="1767"/>
      <c r="AU29" s="1767"/>
      <c r="AV29" s="1767"/>
      <c r="AW29" s="1767"/>
      <c r="AX29" s="1767"/>
      <c r="AY29" s="1767"/>
      <c r="AZ29" s="1767"/>
      <c r="BA29" s="1767"/>
      <c r="BB29" s="1767"/>
      <c r="BC29" s="1767"/>
      <c r="BD29" s="1767"/>
      <c r="BE29" s="1767"/>
      <c r="BF29" s="1767"/>
      <c r="BG29" s="1767"/>
      <c r="BH29" s="1767"/>
      <c r="BI29" s="1767"/>
      <c r="BJ29" s="1767"/>
      <c r="BK29" s="1767"/>
      <c r="BL29" s="1767"/>
      <c r="BM29" s="1767"/>
      <c r="BN29" s="1767"/>
      <c r="BO29" s="1767"/>
      <c r="BP29" s="1767"/>
      <c r="BQ29" s="1767"/>
      <c r="BR29" s="1767"/>
      <c r="BS29" s="1767"/>
      <c r="BT29" s="1767"/>
      <c r="BU29" s="1767"/>
      <c r="BV29" s="1767"/>
      <c r="BW29" s="1767"/>
      <c r="BX29" s="1767"/>
      <c r="BY29" s="1767"/>
      <c r="BZ29" s="1767"/>
      <c r="CA29" s="1767"/>
      <c r="CB29" s="1767"/>
      <c r="CC29" s="1767"/>
      <c r="CD29" s="1767"/>
      <c r="CE29" s="1767"/>
      <c r="CF29" s="1767"/>
    </row>
    <row r="30" spans="1:84" ht="11.25" customHeight="1">
      <c r="A30" s="1726"/>
      <c r="B30" s="1083"/>
      <c r="C30" s="348"/>
      <c r="D30" s="2609"/>
      <c r="E30" s="2600"/>
      <c r="F30" s="2365" t="s">
        <v>103</v>
      </c>
      <c r="G30" s="2602"/>
      <c r="H30" s="2371"/>
      <c r="I30" s="2604" t="s">
        <v>649</v>
      </c>
      <c r="J30" s="2605" t="s">
        <v>658</v>
      </c>
      <c r="K30" s="2606" t="s">
        <v>662</v>
      </c>
      <c r="L30" s="576"/>
      <c r="M30" s="577" t="s">
        <v>100</v>
      </c>
      <c r="N30" s="1715" t="s">
        <v>663</v>
      </c>
      <c r="O30" s="578">
        <f>Q30</f>
        <v>3426.98</v>
      </c>
      <c r="P30" s="579" t="s">
        <v>569</v>
      </c>
      <c r="Q30" s="578">
        <v>3426.98</v>
      </c>
      <c r="R30" s="580">
        <v>0</v>
      </c>
      <c r="S30" s="2439"/>
      <c r="T30" s="653"/>
      <c r="U30" s="2609"/>
      <c r="V30" s="2609"/>
      <c r="W30" s="1767"/>
      <c r="X30" s="1767"/>
      <c r="Y30" s="1767"/>
      <c r="Z30" s="1767"/>
      <c r="AA30" s="1767"/>
      <c r="AB30" s="1767"/>
      <c r="AC30" s="2609"/>
      <c r="AD30" s="1767"/>
      <c r="AE30" s="1767"/>
      <c r="AF30" s="1767"/>
      <c r="AG30" s="1767"/>
      <c r="AH30" s="1767"/>
      <c r="AI30" s="1767"/>
      <c r="AJ30" s="1767"/>
      <c r="AK30" s="1767"/>
      <c r="AL30" s="1767"/>
      <c r="AM30" s="1767"/>
      <c r="AN30" s="1767"/>
      <c r="AO30" s="1767"/>
      <c r="AP30" s="1767"/>
      <c r="AQ30" s="1767"/>
      <c r="AR30" s="1767"/>
      <c r="AS30" s="1767"/>
      <c r="AT30" s="1767"/>
      <c r="AU30" s="1767"/>
      <c r="AV30" s="1767"/>
      <c r="AW30" s="1767"/>
      <c r="AX30" s="1767"/>
      <c r="AY30" s="1767"/>
      <c r="AZ30" s="1767"/>
      <c r="BA30" s="1767"/>
      <c r="BB30" s="1767"/>
      <c r="BC30" s="1767"/>
      <c r="BD30" s="1767"/>
      <c r="BE30" s="1767"/>
      <c r="BF30" s="1767"/>
      <c r="BG30" s="1767"/>
      <c r="BH30" s="1767"/>
      <c r="BI30" s="1767"/>
      <c r="BJ30" s="1767"/>
      <c r="BK30" s="1767"/>
      <c r="BL30" s="1767"/>
      <c r="BM30" s="1767"/>
      <c r="BN30" s="1767"/>
      <c r="BO30" s="1767"/>
      <c r="BP30" s="1767"/>
      <c r="BQ30" s="1767"/>
      <c r="BR30" s="1767"/>
      <c r="BS30" s="1767"/>
      <c r="BT30" s="1767"/>
      <c r="BU30" s="1767"/>
      <c r="BV30" s="1767"/>
      <c r="BW30" s="1767"/>
      <c r="BX30" s="1767"/>
      <c r="BY30" s="1767"/>
      <c r="BZ30" s="1767"/>
      <c r="CA30" s="1767"/>
      <c r="CB30" s="1767"/>
      <c r="CC30" s="1767"/>
      <c r="CD30" s="1767"/>
      <c r="CE30" s="1767"/>
      <c r="CF30" s="1767"/>
    </row>
    <row r="31" spans="1:84" ht="11.25" customHeight="1">
      <c r="A31" s="1726"/>
      <c r="B31" s="1083"/>
      <c r="C31" s="348"/>
      <c r="D31" s="2609"/>
      <c r="E31" s="2600"/>
      <c r="F31" s="2365" t="s">
        <v>103</v>
      </c>
      <c r="G31" s="2602"/>
      <c r="H31" s="2371"/>
      <c r="I31" s="2604"/>
      <c r="J31" s="2605"/>
      <c r="K31" s="2607"/>
      <c r="L31" s="581"/>
      <c r="M31" s="582"/>
      <c r="N31" s="583" t="s">
        <v>652</v>
      </c>
      <c r="O31" s="583"/>
      <c r="P31" s="583"/>
      <c r="Q31" s="583"/>
      <c r="R31" s="584"/>
      <c r="S31" s="2439"/>
      <c r="T31" s="653"/>
      <c r="U31" s="2609"/>
      <c r="V31" s="2609"/>
      <c r="W31" s="1767"/>
      <c r="X31" s="1767"/>
      <c r="Y31" s="1767"/>
      <c r="Z31" s="1767"/>
      <c r="AA31" s="1767"/>
      <c r="AB31" s="1767"/>
      <c r="AC31" s="2609"/>
      <c r="AD31" s="1767"/>
      <c r="AE31" s="1767"/>
      <c r="AF31" s="1767"/>
      <c r="AG31" s="1767"/>
      <c r="AH31" s="1767"/>
      <c r="AI31" s="1767"/>
      <c r="AJ31" s="1767"/>
      <c r="AK31" s="1767"/>
      <c r="AL31" s="1767"/>
      <c r="AM31" s="1767"/>
      <c r="AN31" s="1767"/>
      <c r="AO31" s="1767"/>
      <c r="AP31" s="1767"/>
      <c r="AQ31" s="1767"/>
      <c r="AR31" s="1767"/>
      <c r="AS31" s="1767"/>
      <c r="AT31" s="1767"/>
      <c r="AU31" s="1767"/>
      <c r="AV31" s="1767"/>
      <c r="AW31" s="1767"/>
      <c r="AX31" s="1767"/>
      <c r="AY31" s="1767"/>
      <c r="AZ31" s="1767"/>
      <c r="BA31" s="1767"/>
      <c r="BB31" s="1767"/>
      <c r="BC31" s="1767"/>
      <c r="BD31" s="1767"/>
      <c r="BE31" s="1767"/>
      <c r="BF31" s="1767"/>
      <c r="BG31" s="1767"/>
      <c r="BH31" s="1767"/>
      <c r="BI31" s="1767"/>
      <c r="BJ31" s="1767"/>
      <c r="BK31" s="1767"/>
      <c r="BL31" s="1767"/>
      <c r="BM31" s="1767"/>
      <c r="BN31" s="1767"/>
      <c r="BO31" s="1767"/>
      <c r="BP31" s="1767"/>
      <c r="BQ31" s="1767"/>
      <c r="BR31" s="1767"/>
      <c r="BS31" s="1767"/>
      <c r="BT31" s="1767"/>
      <c r="BU31" s="1767"/>
      <c r="BV31" s="1767"/>
      <c r="BW31" s="1767"/>
      <c r="BX31" s="1767"/>
      <c r="BY31" s="1767"/>
      <c r="BZ31" s="1767"/>
      <c r="CA31" s="1767"/>
      <c r="CB31" s="1767"/>
      <c r="CC31" s="1767"/>
      <c r="CD31" s="1767"/>
      <c r="CE31" s="1767"/>
      <c r="CF31" s="1767"/>
    </row>
    <row r="32" spans="1:84" ht="11.25" customHeight="1">
      <c r="A32" s="1726"/>
      <c r="B32" s="1083"/>
      <c r="C32" s="348"/>
      <c r="D32" s="2609"/>
      <c r="E32" s="2608"/>
      <c r="F32" s="2608"/>
      <c r="G32" s="2608"/>
      <c r="H32" s="2371" t="s">
        <v>104</v>
      </c>
      <c r="I32" s="2604" t="s">
        <v>653</v>
      </c>
      <c r="J32" s="2605" t="s">
        <v>591</v>
      </c>
      <c r="K32" s="2606" t="s">
        <v>664</v>
      </c>
      <c r="L32" s="576"/>
      <c r="M32" s="577" t="s">
        <v>100</v>
      </c>
      <c r="N32" s="1715" t="s">
        <v>665</v>
      </c>
      <c r="O32" s="578">
        <f>Q32</f>
        <v>903.48</v>
      </c>
      <c r="P32" s="579" t="s">
        <v>569</v>
      </c>
      <c r="Q32" s="578">
        <v>903.48</v>
      </c>
      <c r="R32" s="580">
        <v>0</v>
      </c>
      <c r="S32" s="2609"/>
      <c r="T32" s="653"/>
      <c r="U32" s="2609"/>
      <c r="V32" s="2609"/>
      <c r="W32" s="1767"/>
      <c r="X32" s="1767"/>
      <c r="Y32" s="1767"/>
      <c r="Z32" s="1767"/>
      <c r="AA32" s="1767"/>
      <c r="AB32" s="1767"/>
      <c r="AC32" s="2609"/>
      <c r="AD32" s="1767"/>
      <c r="AE32" s="1767"/>
      <c r="AF32" s="1767"/>
      <c r="AG32" s="1767"/>
      <c r="AH32" s="1767"/>
      <c r="AI32" s="1767"/>
      <c r="AJ32" s="1767"/>
      <c r="AK32" s="1767"/>
      <c r="AL32" s="1767"/>
      <c r="AM32" s="1767"/>
      <c r="AN32" s="1767"/>
      <c r="AO32" s="1767"/>
      <c r="AP32" s="1767"/>
      <c r="AQ32" s="1767"/>
      <c r="AR32" s="1767"/>
      <c r="AS32" s="1767"/>
      <c r="AT32" s="1767"/>
      <c r="AU32" s="1767"/>
      <c r="AV32" s="1767"/>
      <c r="AW32" s="1767"/>
      <c r="AX32" s="1767"/>
      <c r="AY32" s="1767"/>
      <c r="AZ32" s="1767"/>
      <c r="BA32" s="1767"/>
      <c r="BB32" s="1767"/>
      <c r="BC32" s="1767"/>
      <c r="BD32" s="1767"/>
      <c r="BE32" s="1767"/>
      <c r="BF32" s="1767"/>
      <c r="BG32" s="1767"/>
      <c r="BH32" s="1767"/>
      <c r="BI32" s="1767"/>
      <c r="BJ32" s="1767"/>
      <c r="BK32" s="1767"/>
      <c r="BL32" s="1767"/>
      <c r="BM32" s="1767"/>
      <c r="BN32" s="1767"/>
      <c r="BO32" s="1767"/>
      <c r="BP32" s="1767"/>
      <c r="BQ32" s="1767"/>
      <c r="BR32" s="1767"/>
      <c r="BS32" s="1767"/>
      <c r="BT32" s="1767"/>
      <c r="BU32" s="1767"/>
      <c r="BV32" s="1767"/>
      <c r="BW32" s="1767"/>
      <c r="BX32" s="1767"/>
      <c r="BY32" s="1767"/>
      <c r="BZ32" s="1767"/>
      <c r="CA32" s="1767"/>
      <c r="CB32" s="1767"/>
      <c r="CC32" s="1767"/>
      <c r="CD32" s="1767"/>
      <c r="CE32" s="1767"/>
      <c r="CF32" s="1767"/>
    </row>
    <row r="33" spans="1:84" ht="11.25" customHeight="1">
      <c r="A33" s="1726"/>
      <c r="B33" s="1083"/>
      <c r="C33" s="348"/>
      <c r="D33" s="2609"/>
      <c r="E33" s="2608"/>
      <c r="F33" s="2608"/>
      <c r="G33" s="2608"/>
      <c r="H33" s="2371"/>
      <c r="I33" s="2604" t="s">
        <v>649</v>
      </c>
      <c r="J33" s="2605"/>
      <c r="K33" s="2607"/>
      <c r="L33" s="581"/>
      <c r="M33" s="582"/>
      <c r="N33" s="583" t="s">
        <v>652</v>
      </c>
      <c r="O33" s="583"/>
      <c r="P33" s="583"/>
      <c r="Q33" s="583"/>
      <c r="R33" s="584"/>
      <c r="S33" s="2609"/>
      <c r="T33" s="653"/>
      <c r="U33" s="2609"/>
      <c r="V33" s="2609"/>
      <c r="W33" s="1767"/>
      <c r="X33" s="1767"/>
      <c r="Y33" s="1767"/>
      <c r="Z33" s="1767"/>
      <c r="AA33" s="1767"/>
      <c r="AB33" s="1767"/>
      <c r="AC33" s="2609"/>
      <c r="AD33" s="1767"/>
      <c r="AE33" s="1767"/>
      <c r="AF33" s="1767"/>
      <c r="AG33" s="1767"/>
      <c r="AH33" s="1767"/>
      <c r="AI33" s="1767"/>
      <c r="AJ33" s="1767"/>
      <c r="AK33" s="1767"/>
      <c r="AL33" s="1767"/>
      <c r="AM33" s="1767"/>
      <c r="AN33" s="1767"/>
      <c r="AO33" s="1767"/>
      <c r="AP33" s="1767"/>
      <c r="AQ33" s="1767"/>
      <c r="AR33" s="1767"/>
      <c r="AS33" s="1767"/>
      <c r="AT33" s="1767"/>
      <c r="AU33" s="1767"/>
      <c r="AV33" s="1767"/>
      <c r="AW33" s="1767"/>
      <c r="AX33" s="1767"/>
      <c r="AY33" s="1767"/>
      <c r="AZ33" s="1767"/>
      <c r="BA33" s="1767"/>
      <c r="BB33" s="1767"/>
      <c r="BC33" s="1767"/>
      <c r="BD33" s="1767"/>
      <c r="BE33" s="1767"/>
      <c r="BF33" s="1767"/>
      <c r="BG33" s="1767"/>
      <c r="BH33" s="1767"/>
      <c r="BI33" s="1767"/>
      <c r="BJ33" s="1767"/>
      <c r="BK33" s="1767"/>
      <c r="BL33" s="1767"/>
      <c r="BM33" s="1767"/>
      <c r="BN33" s="1767"/>
      <c r="BO33" s="1767"/>
      <c r="BP33" s="1767"/>
      <c r="BQ33" s="1767"/>
      <c r="BR33" s="1767"/>
      <c r="BS33" s="1767"/>
      <c r="BT33" s="1767"/>
      <c r="BU33" s="1767"/>
      <c r="BV33" s="1767"/>
      <c r="BW33" s="1767"/>
      <c r="BX33" s="1767"/>
      <c r="BY33" s="1767"/>
      <c r="BZ33" s="1767"/>
      <c r="CA33" s="1767"/>
      <c r="CB33" s="1767"/>
      <c r="CC33" s="1767"/>
      <c r="CD33" s="1767"/>
      <c r="CE33" s="1767"/>
      <c r="CF33" s="1767"/>
    </row>
    <row r="34" spans="1:84" ht="11.25" customHeight="1">
      <c r="A34" s="1726"/>
      <c r="B34" s="1083"/>
      <c r="C34" s="348"/>
      <c r="D34" s="2609"/>
      <c r="E34" s="2601"/>
      <c r="F34" s="2365" t="s">
        <v>103</v>
      </c>
      <c r="G34" s="2603"/>
      <c r="H34" s="581" t="s">
        <v>22</v>
      </c>
      <c r="I34" s="582"/>
      <c r="J34" s="583" t="s">
        <v>656</v>
      </c>
      <c r="K34" s="583"/>
      <c r="L34" s="583"/>
      <c r="M34" s="583"/>
      <c r="N34" s="583"/>
      <c r="O34" s="583"/>
      <c r="P34" s="583"/>
      <c r="Q34" s="583"/>
      <c r="R34" s="584"/>
      <c r="S34" s="2439"/>
      <c r="T34" s="653"/>
      <c r="U34" s="2609"/>
      <c r="V34" s="2609"/>
      <c r="W34" s="1767"/>
      <c r="X34" s="1767"/>
      <c r="Y34" s="1767"/>
      <c r="Z34" s="1767"/>
      <c r="AA34" s="1767"/>
      <c r="AB34" s="1767"/>
      <c r="AC34" s="2609"/>
      <c r="AD34" s="1767"/>
      <c r="AE34" s="1767"/>
      <c r="AF34" s="1767"/>
      <c r="AG34" s="1767"/>
      <c r="AH34" s="1767"/>
      <c r="AI34" s="1767"/>
      <c r="AJ34" s="1767"/>
      <c r="AK34" s="1767"/>
      <c r="AL34" s="1767"/>
      <c r="AM34" s="1767"/>
      <c r="AN34" s="1767"/>
      <c r="AO34" s="1767"/>
      <c r="AP34" s="1767"/>
      <c r="AQ34" s="1767"/>
      <c r="AR34" s="1767"/>
      <c r="AS34" s="1767"/>
      <c r="AT34" s="1767"/>
      <c r="AU34" s="1767"/>
      <c r="AV34" s="1767"/>
      <c r="AW34" s="1767"/>
      <c r="AX34" s="1767"/>
      <c r="AY34" s="1767"/>
      <c r="AZ34" s="1767"/>
      <c r="BA34" s="1767"/>
      <c r="BB34" s="1767"/>
      <c r="BC34" s="1767"/>
      <c r="BD34" s="1767"/>
      <c r="BE34" s="1767"/>
      <c r="BF34" s="1767"/>
      <c r="BG34" s="1767"/>
      <c r="BH34" s="1767"/>
      <c r="BI34" s="1767"/>
      <c r="BJ34" s="1767"/>
      <c r="BK34" s="1767"/>
      <c r="BL34" s="1767"/>
      <c r="BM34" s="1767"/>
      <c r="BN34" s="1767"/>
      <c r="BO34" s="1767"/>
      <c r="BP34" s="1767"/>
      <c r="BQ34" s="1767"/>
      <c r="BR34" s="1767"/>
      <c r="BS34" s="1767"/>
      <c r="BT34" s="1767"/>
      <c r="BU34" s="1767"/>
      <c r="BV34" s="1767"/>
      <c r="BW34" s="1767"/>
      <c r="BX34" s="1767"/>
      <c r="BY34" s="1767"/>
      <c r="BZ34" s="1767"/>
      <c r="CA34" s="1767"/>
      <c r="CB34" s="1767"/>
      <c r="CC34" s="1767"/>
      <c r="CD34" s="1767"/>
      <c r="CE34" s="1767"/>
      <c r="CF34" s="1767"/>
    </row>
    <row r="35" spans="1:84" ht="45" customHeight="1">
      <c r="A35" s="1726"/>
      <c r="B35" s="1083"/>
      <c r="C35" s="348"/>
      <c r="D35" s="2609"/>
      <c r="E35" s="2599" t="s">
        <v>104</v>
      </c>
      <c r="F35" s="2365" t="s">
        <v>92</v>
      </c>
      <c r="G35" s="2602" t="s">
        <v>666</v>
      </c>
      <c r="H35" s="226"/>
      <c r="I35" s="573" t="s">
        <v>100</v>
      </c>
      <c r="J35" s="1727" t="s">
        <v>648</v>
      </c>
      <c r="K35" s="574" t="s">
        <v>563</v>
      </c>
      <c r="L35" s="2479" t="s">
        <v>563</v>
      </c>
      <c r="M35" s="2415"/>
      <c r="N35" s="574" t="s">
        <v>563</v>
      </c>
      <c r="O35" s="574" t="s">
        <v>563</v>
      </c>
      <c r="P35" s="574" t="s">
        <v>563</v>
      </c>
      <c r="Q35" s="575">
        <f>SUM(Q36:Q40)</f>
        <v>1223.8599999999999</v>
      </c>
      <c r="R35" s="575">
        <f>IF('Показатели ФХД'!I89=0,0,($Q$35/'Показатели ФХД'!I89)*100)</f>
        <v>2.2400571598892016</v>
      </c>
      <c r="S35" s="2439"/>
      <c r="T35" s="653" t="s">
        <v>646</v>
      </c>
      <c r="U35" s="2609"/>
      <c r="V35" s="2609"/>
      <c r="W35" s="1767"/>
      <c r="X35" s="1767"/>
      <c r="Y35" s="1767"/>
      <c r="Z35" s="1767"/>
      <c r="AA35" s="1767"/>
      <c r="AB35" s="1767"/>
      <c r="AC35" s="2609"/>
      <c r="AD35" s="1767"/>
      <c r="AE35" s="1767"/>
      <c r="AF35" s="1767"/>
      <c r="AG35" s="1767"/>
      <c r="AH35" s="1767"/>
      <c r="AI35" s="1767"/>
      <c r="AJ35" s="1767"/>
      <c r="AK35" s="1767"/>
      <c r="AL35" s="1767"/>
      <c r="AM35" s="1767"/>
      <c r="AN35" s="1767"/>
      <c r="AO35" s="1767"/>
      <c r="AP35" s="1767"/>
      <c r="AQ35" s="1767"/>
      <c r="AR35" s="1767"/>
      <c r="AS35" s="1767"/>
      <c r="AT35" s="1767"/>
      <c r="AU35" s="1767"/>
      <c r="AV35" s="1767"/>
      <c r="AW35" s="1767"/>
      <c r="AX35" s="1767"/>
      <c r="AY35" s="1767"/>
      <c r="AZ35" s="1767"/>
      <c r="BA35" s="1767"/>
      <c r="BB35" s="1767"/>
      <c r="BC35" s="1767"/>
      <c r="BD35" s="1767"/>
      <c r="BE35" s="1767"/>
      <c r="BF35" s="1767"/>
      <c r="BG35" s="1767"/>
      <c r="BH35" s="1767"/>
      <c r="BI35" s="1767"/>
      <c r="BJ35" s="1767"/>
      <c r="BK35" s="1767"/>
      <c r="BL35" s="1767"/>
      <c r="BM35" s="1767"/>
      <c r="BN35" s="1767"/>
      <c r="BO35" s="1767"/>
      <c r="BP35" s="1767"/>
      <c r="BQ35" s="1767"/>
      <c r="BR35" s="1767"/>
      <c r="BS35" s="1767"/>
      <c r="BT35" s="1767"/>
      <c r="BU35" s="1767"/>
      <c r="BV35" s="1767"/>
      <c r="BW35" s="1767"/>
      <c r="BX35" s="1767"/>
      <c r="BY35" s="1767"/>
      <c r="BZ35" s="1767"/>
      <c r="CA35" s="1767"/>
      <c r="CB35" s="1767"/>
      <c r="CC35" s="1767"/>
      <c r="CD35" s="1767"/>
      <c r="CE35" s="1767"/>
      <c r="CF35" s="1767"/>
    </row>
    <row r="36" spans="1:84" ht="11.25" customHeight="1">
      <c r="A36" s="1726"/>
      <c r="B36" s="1083"/>
      <c r="C36" s="348"/>
      <c r="D36" s="2609"/>
      <c r="E36" s="2600"/>
      <c r="F36" s="2365" t="s">
        <v>91</v>
      </c>
      <c r="G36" s="2602"/>
      <c r="H36" s="2371"/>
      <c r="I36" s="2604" t="s">
        <v>649</v>
      </c>
      <c r="J36" s="2605" t="s">
        <v>658</v>
      </c>
      <c r="K36" s="2606" t="s">
        <v>667</v>
      </c>
      <c r="L36" s="576"/>
      <c r="M36" s="577" t="s">
        <v>100</v>
      </c>
      <c r="N36" s="1715" t="s">
        <v>668</v>
      </c>
      <c r="O36" s="578">
        <f>Q36</f>
        <v>813.04</v>
      </c>
      <c r="P36" s="579" t="s">
        <v>569</v>
      </c>
      <c r="Q36" s="578">
        <v>813.04</v>
      </c>
      <c r="R36" s="580">
        <v>0</v>
      </c>
      <c r="S36" s="2439"/>
      <c r="T36" s="653"/>
      <c r="U36" s="2609"/>
      <c r="V36" s="2609"/>
      <c r="W36" s="1767"/>
      <c r="X36" s="1767"/>
      <c r="Y36" s="1767"/>
      <c r="Z36" s="1767"/>
      <c r="AA36" s="1767"/>
      <c r="AB36" s="1767"/>
      <c r="AC36" s="2609"/>
      <c r="AD36" s="1767"/>
      <c r="AE36" s="1767"/>
      <c r="AF36" s="1767"/>
      <c r="AG36" s="1767"/>
      <c r="AH36" s="1767"/>
      <c r="AI36" s="1767"/>
      <c r="AJ36" s="1767"/>
      <c r="AK36" s="1767"/>
      <c r="AL36" s="1767"/>
      <c r="AM36" s="1767"/>
      <c r="AN36" s="1767"/>
      <c r="AO36" s="1767"/>
      <c r="AP36" s="1767"/>
      <c r="AQ36" s="1767"/>
      <c r="AR36" s="1767"/>
      <c r="AS36" s="1767"/>
      <c r="AT36" s="1767"/>
      <c r="AU36" s="1767"/>
      <c r="AV36" s="1767"/>
      <c r="AW36" s="1767"/>
      <c r="AX36" s="1767"/>
      <c r="AY36" s="1767"/>
      <c r="AZ36" s="1767"/>
      <c r="BA36" s="1767"/>
      <c r="BB36" s="1767"/>
      <c r="BC36" s="1767"/>
      <c r="BD36" s="1767"/>
      <c r="BE36" s="1767"/>
      <c r="BF36" s="1767"/>
      <c r="BG36" s="1767"/>
      <c r="BH36" s="1767"/>
      <c r="BI36" s="1767"/>
      <c r="BJ36" s="1767"/>
      <c r="BK36" s="1767"/>
      <c r="BL36" s="1767"/>
      <c r="BM36" s="1767"/>
      <c r="BN36" s="1767"/>
      <c r="BO36" s="1767"/>
      <c r="BP36" s="1767"/>
      <c r="BQ36" s="1767"/>
      <c r="BR36" s="1767"/>
      <c r="BS36" s="1767"/>
      <c r="BT36" s="1767"/>
      <c r="BU36" s="1767"/>
      <c r="BV36" s="1767"/>
      <c r="BW36" s="1767"/>
      <c r="BX36" s="1767"/>
      <c r="BY36" s="1767"/>
      <c r="BZ36" s="1767"/>
      <c r="CA36" s="1767"/>
      <c r="CB36" s="1767"/>
      <c r="CC36" s="1767"/>
      <c r="CD36" s="1767"/>
      <c r="CE36" s="1767"/>
      <c r="CF36" s="1767"/>
    </row>
    <row r="37" spans="1:84" ht="11.25" customHeight="1">
      <c r="A37" s="1726"/>
      <c r="B37" s="1083"/>
      <c r="C37" s="348"/>
      <c r="D37" s="2609"/>
      <c r="E37" s="2600"/>
      <c r="F37" s="2365" t="s">
        <v>91</v>
      </c>
      <c r="G37" s="2602"/>
      <c r="H37" s="2371"/>
      <c r="I37" s="2604"/>
      <c r="J37" s="2605"/>
      <c r="K37" s="2607"/>
      <c r="L37" s="581"/>
      <c r="M37" s="582"/>
      <c r="N37" s="583" t="s">
        <v>652</v>
      </c>
      <c r="O37" s="583"/>
      <c r="P37" s="583"/>
      <c r="Q37" s="583"/>
      <c r="R37" s="584"/>
      <c r="S37" s="2439"/>
      <c r="T37" s="653"/>
      <c r="U37" s="2609"/>
      <c r="V37" s="2609"/>
      <c r="W37" s="1767"/>
      <c r="X37" s="1767"/>
      <c r="Y37" s="1767"/>
      <c r="Z37" s="1767"/>
      <c r="AA37" s="1767"/>
      <c r="AB37" s="1767"/>
      <c r="AC37" s="2609"/>
      <c r="AD37" s="1767"/>
      <c r="AE37" s="1767"/>
      <c r="AF37" s="1767"/>
      <c r="AG37" s="1767"/>
      <c r="AH37" s="1767"/>
      <c r="AI37" s="1767"/>
      <c r="AJ37" s="1767"/>
      <c r="AK37" s="1767"/>
      <c r="AL37" s="1767"/>
      <c r="AM37" s="1767"/>
      <c r="AN37" s="1767"/>
      <c r="AO37" s="1767"/>
      <c r="AP37" s="1767"/>
      <c r="AQ37" s="1767"/>
      <c r="AR37" s="1767"/>
      <c r="AS37" s="1767"/>
      <c r="AT37" s="1767"/>
      <c r="AU37" s="1767"/>
      <c r="AV37" s="1767"/>
      <c r="AW37" s="1767"/>
      <c r="AX37" s="1767"/>
      <c r="AY37" s="1767"/>
      <c r="AZ37" s="1767"/>
      <c r="BA37" s="1767"/>
      <c r="BB37" s="1767"/>
      <c r="BC37" s="1767"/>
      <c r="BD37" s="1767"/>
      <c r="BE37" s="1767"/>
      <c r="BF37" s="1767"/>
      <c r="BG37" s="1767"/>
      <c r="BH37" s="1767"/>
      <c r="BI37" s="1767"/>
      <c r="BJ37" s="1767"/>
      <c r="BK37" s="1767"/>
      <c r="BL37" s="1767"/>
      <c r="BM37" s="1767"/>
      <c r="BN37" s="1767"/>
      <c r="BO37" s="1767"/>
      <c r="BP37" s="1767"/>
      <c r="BQ37" s="1767"/>
      <c r="BR37" s="1767"/>
      <c r="BS37" s="1767"/>
      <c r="BT37" s="1767"/>
      <c r="BU37" s="1767"/>
      <c r="BV37" s="1767"/>
      <c r="BW37" s="1767"/>
      <c r="BX37" s="1767"/>
      <c r="BY37" s="1767"/>
      <c r="BZ37" s="1767"/>
      <c r="CA37" s="1767"/>
      <c r="CB37" s="1767"/>
      <c r="CC37" s="1767"/>
      <c r="CD37" s="1767"/>
      <c r="CE37" s="1767"/>
      <c r="CF37" s="1767"/>
    </row>
    <row r="38" spans="1:84" ht="11.25" customHeight="1">
      <c r="A38" s="1726"/>
      <c r="B38" s="1083"/>
      <c r="C38" s="348"/>
      <c r="D38" s="2609"/>
      <c r="E38" s="2608"/>
      <c r="F38" s="2608"/>
      <c r="G38" s="2608"/>
      <c r="H38" s="2371" t="s">
        <v>104</v>
      </c>
      <c r="I38" s="2604" t="s">
        <v>653</v>
      </c>
      <c r="J38" s="2605" t="s">
        <v>658</v>
      </c>
      <c r="K38" s="2606" t="s">
        <v>669</v>
      </c>
      <c r="L38" s="576"/>
      <c r="M38" s="577" t="s">
        <v>100</v>
      </c>
      <c r="N38" s="1715" t="s">
        <v>670</v>
      </c>
      <c r="O38" s="578">
        <f>Q38</f>
        <v>410.82</v>
      </c>
      <c r="P38" s="579" t="s">
        <v>569</v>
      </c>
      <c r="Q38" s="578">
        <v>410.82</v>
      </c>
      <c r="R38" s="580">
        <v>0</v>
      </c>
      <c r="S38" s="2609"/>
      <c r="T38" s="653"/>
      <c r="U38" s="2609"/>
      <c r="V38" s="2609"/>
      <c r="W38" s="1767"/>
      <c r="X38" s="1767"/>
      <c r="Y38" s="1767"/>
      <c r="Z38" s="1767"/>
      <c r="AA38" s="1767"/>
      <c r="AB38" s="1767"/>
      <c r="AC38" s="2609"/>
      <c r="AD38" s="1767"/>
      <c r="AE38" s="1767"/>
      <c r="AF38" s="1767"/>
      <c r="AG38" s="1767"/>
      <c r="AH38" s="1767"/>
      <c r="AI38" s="1767"/>
      <c r="AJ38" s="1767"/>
      <c r="AK38" s="1767"/>
      <c r="AL38" s="1767"/>
      <c r="AM38" s="1767"/>
      <c r="AN38" s="1767"/>
      <c r="AO38" s="1767"/>
      <c r="AP38" s="1767"/>
      <c r="AQ38" s="1767"/>
      <c r="AR38" s="1767"/>
      <c r="AS38" s="1767"/>
      <c r="AT38" s="1767"/>
      <c r="AU38" s="1767"/>
      <c r="AV38" s="1767"/>
      <c r="AW38" s="1767"/>
      <c r="AX38" s="1767"/>
      <c r="AY38" s="1767"/>
      <c r="AZ38" s="1767"/>
      <c r="BA38" s="1767"/>
      <c r="BB38" s="1767"/>
      <c r="BC38" s="1767"/>
      <c r="BD38" s="1767"/>
      <c r="BE38" s="1767"/>
      <c r="BF38" s="1767"/>
      <c r="BG38" s="1767"/>
      <c r="BH38" s="1767"/>
      <c r="BI38" s="1767"/>
      <c r="BJ38" s="1767"/>
      <c r="BK38" s="1767"/>
      <c r="BL38" s="1767"/>
      <c r="BM38" s="1767"/>
      <c r="BN38" s="1767"/>
      <c r="BO38" s="1767"/>
      <c r="BP38" s="1767"/>
      <c r="BQ38" s="1767"/>
      <c r="BR38" s="1767"/>
      <c r="BS38" s="1767"/>
      <c r="BT38" s="1767"/>
      <c r="BU38" s="1767"/>
      <c r="BV38" s="1767"/>
      <c r="BW38" s="1767"/>
      <c r="BX38" s="1767"/>
      <c r="BY38" s="1767"/>
      <c r="BZ38" s="1767"/>
      <c r="CA38" s="1767"/>
      <c r="CB38" s="1767"/>
      <c r="CC38" s="1767"/>
      <c r="CD38" s="1767"/>
      <c r="CE38" s="1767"/>
      <c r="CF38" s="1767"/>
    </row>
    <row r="39" spans="1:84" ht="11.25" customHeight="1">
      <c r="A39" s="1726"/>
      <c r="B39" s="1083"/>
      <c r="C39" s="348"/>
      <c r="D39" s="2609"/>
      <c r="E39" s="2608"/>
      <c r="F39" s="2608"/>
      <c r="G39" s="2608"/>
      <c r="H39" s="2371"/>
      <c r="I39" s="2604" t="s">
        <v>649</v>
      </c>
      <c r="J39" s="2605"/>
      <c r="K39" s="2607"/>
      <c r="L39" s="581"/>
      <c r="M39" s="582"/>
      <c r="N39" s="583" t="s">
        <v>652</v>
      </c>
      <c r="O39" s="583"/>
      <c r="P39" s="583"/>
      <c r="Q39" s="583"/>
      <c r="R39" s="584"/>
      <c r="S39" s="2609"/>
      <c r="T39" s="653"/>
      <c r="U39" s="2609"/>
      <c r="V39" s="2609"/>
      <c r="W39" s="1767"/>
      <c r="X39" s="1767"/>
      <c r="Y39" s="1767"/>
      <c r="Z39" s="1767"/>
      <c r="AA39" s="1767"/>
      <c r="AB39" s="1767"/>
      <c r="AC39" s="2609"/>
      <c r="AD39" s="1767"/>
      <c r="AE39" s="1767"/>
      <c r="AF39" s="1767"/>
      <c r="AG39" s="1767"/>
      <c r="AH39" s="1767"/>
      <c r="AI39" s="1767"/>
      <c r="AJ39" s="1767"/>
      <c r="AK39" s="1767"/>
      <c r="AL39" s="1767"/>
      <c r="AM39" s="1767"/>
      <c r="AN39" s="1767"/>
      <c r="AO39" s="1767"/>
      <c r="AP39" s="1767"/>
      <c r="AQ39" s="1767"/>
      <c r="AR39" s="1767"/>
      <c r="AS39" s="1767"/>
      <c r="AT39" s="1767"/>
      <c r="AU39" s="1767"/>
      <c r="AV39" s="1767"/>
      <c r="AW39" s="1767"/>
      <c r="AX39" s="1767"/>
      <c r="AY39" s="1767"/>
      <c r="AZ39" s="1767"/>
      <c r="BA39" s="1767"/>
      <c r="BB39" s="1767"/>
      <c r="BC39" s="1767"/>
      <c r="BD39" s="1767"/>
      <c r="BE39" s="1767"/>
      <c r="BF39" s="1767"/>
      <c r="BG39" s="1767"/>
      <c r="BH39" s="1767"/>
      <c r="BI39" s="1767"/>
      <c r="BJ39" s="1767"/>
      <c r="BK39" s="1767"/>
      <c r="BL39" s="1767"/>
      <c r="BM39" s="1767"/>
      <c r="BN39" s="1767"/>
      <c r="BO39" s="1767"/>
      <c r="BP39" s="1767"/>
      <c r="BQ39" s="1767"/>
      <c r="BR39" s="1767"/>
      <c r="BS39" s="1767"/>
      <c r="BT39" s="1767"/>
      <c r="BU39" s="1767"/>
      <c r="BV39" s="1767"/>
      <c r="BW39" s="1767"/>
      <c r="BX39" s="1767"/>
      <c r="BY39" s="1767"/>
      <c r="BZ39" s="1767"/>
      <c r="CA39" s="1767"/>
      <c r="CB39" s="1767"/>
      <c r="CC39" s="1767"/>
      <c r="CD39" s="1767"/>
      <c r="CE39" s="1767"/>
      <c r="CF39" s="1767"/>
    </row>
    <row r="40" spans="1:84" ht="11.25" customHeight="1">
      <c r="A40" s="1726"/>
      <c r="B40" s="1083"/>
      <c r="C40" s="348"/>
      <c r="D40" s="2609"/>
      <c r="E40" s="2601"/>
      <c r="F40" s="2365" t="s">
        <v>91</v>
      </c>
      <c r="G40" s="2603"/>
      <c r="H40" s="581" t="s">
        <v>22</v>
      </c>
      <c r="I40" s="582"/>
      <c r="J40" s="583" t="s">
        <v>656</v>
      </c>
      <c r="K40" s="583"/>
      <c r="L40" s="583"/>
      <c r="M40" s="583"/>
      <c r="N40" s="583"/>
      <c r="O40" s="583"/>
      <c r="P40" s="583"/>
      <c r="Q40" s="583"/>
      <c r="R40" s="584"/>
      <c r="S40" s="2439"/>
      <c r="T40" s="653"/>
      <c r="U40" s="2609"/>
      <c r="V40" s="2609"/>
      <c r="W40" s="1767"/>
      <c r="X40" s="1767"/>
      <c r="Y40" s="1767"/>
      <c r="Z40" s="1767"/>
      <c r="AA40" s="1767"/>
      <c r="AB40" s="1767"/>
      <c r="AC40" s="2609"/>
      <c r="AD40" s="1767"/>
      <c r="AE40" s="1767"/>
      <c r="AF40" s="1767"/>
      <c r="AG40" s="1767"/>
      <c r="AH40" s="1767"/>
      <c r="AI40" s="1767"/>
      <c r="AJ40" s="1767"/>
      <c r="AK40" s="1767"/>
      <c r="AL40" s="1767"/>
      <c r="AM40" s="1767"/>
      <c r="AN40" s="1767"/>
      <c r="AO40" s="1767"/>
      <c r="AP40" s="1767"/>
      <c r="AQ40" s="1767"/>
      <c r="AR40" s="1767"/>
      <c r="AS40" s="1767"/>
      <c r="AT40" s="1767"/>
      <c r="AU40" s="1767"/>
      <c r="AV40" s="1767"/>
      <c r="AW40" s="1767"/>
      <c r="AX40" s="1767"/>
      <c r="AY40" s="1767"/>
      <c r="AZ40" s="1767"/>
      <c r="BA40" s="1767"/>
      <c r="BB40" s="1767"/>
      <c r="BC40" s="1767"/>
      <c r="BD40" s="1767"/>
      <c r="BE40" s="1767"/>
      <c r="BF40" s="1767"/>
      <c r="BG40" s="1767"/>
      <c r="BH40" s="1767"/>
      <c r="BI40" s="1767"/>
      <c r="BJ40" s="1767"/>
      <c r="BK40" s="1767"/>
      <c r="BL40" s="1767"/>
      <c r="BM40" s="1767"/>
      <c r="BN40" s="1767"/>
      <c r="BO40" s="1767"/>
      <c r="BP40" s="1767"/>
      <c r="BQ40" s="1767"/>
      <c r="BR40" s="1767"/>
      <c r="BS40" s="1767"/>
      <c r="BT40" s="1767"/>
      <c r="BU40" s="1767"/>
      <c r="BV40" s="1767"/>
      <c r="BW40" s="1767"/>
      <c r="BX40" s="1767"/>
      <c r="BY40" s="1767"/>
      <c r="BZ40" s="1767"/>
      <c r="CA40" s="1767"/>
      <c r="CB40" s="1767"/>
      <c r="CC40" s="1767"/>
      <c r="CD40" s="1767"/>
      <c r="CE40" s="1767"/>
      <c r="CF40" s="1767"/>
    </row>
    <row r="41" spans="1:84" ht="45" customHeight="1">
      <c r="A41" s="1726"/>
      <c r="B41" s="1083"/>
      <c r="C41" s="348"/>
      <c r="D41" s="2609"/>
      <c r="E41" s="2599" t="s">
        <v>104</v>
      </c>
      <c r="F41" s="2365" t="s">
        <v>123</v>
      </c>
      <c r="G41" s="2602" t="s">
        <v>671</v>
      </c>
      <c r="H41" s="226"/>
      <c r="I41" s="573" t="s">
        <v>100</v>
      </c>
      <c r="J41" s="1727" t="s">
        <v>648</v>
      </c>
      <c r="K41" s="574" t="s">
        <v>563</v>
      </c>
      <c r="L41" s="2479" t="s">
        <v>563</v>
      </c>
      <c r="M41" s="2415"/>
      <c r="N41" s="574" t="s">
        <v>563</v>
      </c>
      <c r="O41" s="574" t="s">
        <v>563</v>
      </c>
      <c r="P41" s="574" t="s">
        <v>563</v>
      </c>
      <c r="Q41" s="575">
        <f>SUM(Q42:Q46)</f>
        <v>3063.6800000000003</v>
      </c>
      <c r="R41" s="575">
        <f>IF('Показатели ФХД'!I89=0,0,($Q$41/'Показатели ФХД'!I89)*100)</f>
        <v>5.6075190950021652</v>
      </c>
      <c r="S41" s="2439"/>
      <c r="T41" s="653" t="s">
        <v>646</v>
      </c>
      <c r="U41" s="2609"/>
      <c r="V41" s="2609"/>
      <c r="W41" s="1767"/>
      <c r="X41" s="1767"/>
      <c r="Y41" s="1767"/>
      <c r="Z41" s="1767"/>
      <c r="AA41" s="1767"/>
      <c r="AB41" s="1767"/>
      <c r="AC41" s="2609"/>
      <c r="AD41" s="1767"/>
      <c r="AE41" s="1767"/>
      <c r="AF41" s="1767"/>
      <c r="AG41" s="1767"/>
      <c r="AH41" s="1767"/>
      <c r="AI41" s="1767"/>
      <c r="AJ41" s="1767"/>
      <c r="AK41" s="1767"/>
      <c r="AL41" s="1767"/>
      <c r="AM41" s="1767"/>
      <c r="AN41" s="1767"/>
      <c r="AO41" s="1767"/>
      <c r="AP41" s="1767"/>
      <c r="AQ41" s="1767"/>
      <c r="AR41" s="1767"/>
      <c r="AS41" s="1767"/>
      <c r="AT41" s="1767"/>
      <c r="AU41" s="1767"/>
      <c r="AV41" s="1767"/>
      <c r="AW41" s="1767"/>
      <c r="AX41" s="1767"/>
      <c r="AY41" s="1767"/>
      <c r="AZ41" s="1767"/>
      <c r="BA41" s="1767"/>
      <c r="BB41" s="1767"/>
      <c r="BC41" s="1767"/>
      <c r="BD41" s="1767"/>
      <c r="BE41" s="1767"/>
      <c r="BF41" s="1767"/>
      <c r="BG41" s="1767"/>
      <c r="BH41" s="1767"/>
      <c r="BI41" s="1767"/>
      <c r="BJ41" s="1767"/>
      <c r="BK41" s="1767"/>
      <c r="BL41" s="1767"/>
      <c r="BM41" s="1767"/>
      <c r="BN41" s="1767"/>
      <c r="BO41" s="1767"/>
      <c r="BP41" s="1767"/>
      <c r="BQ41" s="1767"/>
      <c r="BR41" s="1767"/>
      <c r="BS41" s="1767"/>
      <c r="BT41" s="1767"/>
      <c r="BU41" s="1767"/>
      <c r="BV41" s="1767"/>
      <c r="BW41" s="1767"/>
      <c r="BX41" s="1767"/>
      <c r="BY41" s="1767"/>
      <c r="BZ41" s="1767"/>
      <c r="CA41" s="1767"/>
      <c r="CB41" s="1767"/>
      <c r="CC41" s="1767"/>
      <c r="CD41" s="1767"/>
      <c r="CE41" s="1767"/>
      <c r="CF41" s="1767"/>
    </row>
    <row r="42" spans="1:84" ht="11.25" customHeight="1">
      <c r="A42" s="1726"/>
      <c r="B42" s="1083"/>
      <c r="C42" s="348"/>
      <c r="D42" s="2609"/>
      <c r="E42" s="2600"/>
      <c r="F42" s="2365" t="s">
        <v>92</v>
      </c>
      <c r="G42" s="2602"/>
      <c r="H42" s="2371"/>
      <c r="I42" s="2604" t="s">
        <v>649</v>
      </c>
      <c r="J42" s="2605" t="s">
        <v>658</v>
      </c>
      <c r="K42" s="2606" t="s">
        <v>672</v>
      </c>
      <c r="L42" s="576"/>
      <c r="M42" s="577" t="s">
        <v>100</v>
      </c>
      <c r="N42" s="1715" t="s">
        <v>673</v>
      </c>
      <c r="O42" s="578">
        <f>Q42</f>
        <v>2135.38</v>
      </c>
      <c r="P42" s="579" t="s">
        <v>569</v>
      </c>
      <c r="Q42" s="578">
        <v>2135.38</v>
      </c>
      <c r="R42" s="580">
        <v>0</v>
      </c>
      <c r="S42" s="2439"/>
      <c r="T42" s="653"/>
      <c r="U42" s="2609"/>
      <c r="V42" s="2609"/>
      <c r="W42" s="1767"/>
      <c r="X42" s="1767"/>
      <c r="Y42" s="1767"/>
      <c r="Z42" s="1767"/>
      <c r="AA42" s="1767"/>
      <c r="AB42" s="1767"/>
      <c r="AC42" s="2609"/>
      <c r="AD42" s="1767"/>
      <c r="AE42" s="1767"/>
      <c r="AF42" s="1767"/>
      <c r="AG42" s="1767"/>
      <c r="AH42" s="1767"/>
      <c r="AI42" s="1767"/>
      <c r="AJ42" s="1767"/>
      <c r="AK42" s="1767"/>
      <c r="AL42" s="1767"/>
      <c r="AM42" s="1767"/>
      <c r="AN42" s="1767"/>
      <c r="AO42" s="1767"/>
      <c r="AP42" s="1767"/>
      <c r="AQ42" s="1767"/>
      <c r="AR42" s="1767"/>
      <c r="AS42" s="1767"/>
      <c r="AT42" s="1767"/>
      <c r="AU42" s="1767"/>
      <c r="AV42" s="1767"/>
      <c r="AW42" s="1767"/>
      <c r="AX42" s="1767"/>
      <c r="AY42" s="1767"/>
      <c r="AZ42" s="1767"/>
      <c r="BA42" s="1767"/>
      <c r="BB42" s="1767"/>
      <c r="BC42" s="1767"/>
      <c r="BD42" s="1767"/>
      <c r="BE42" s="1767"/>
      <c r="BF42" s="1767"/>
      <c r="BG42" s="1767"/>
      <c r="BH42" s="1767"/>
      <c r="BI42" s="1767"/>
      <c r="BJ42" s="1767"/>
      <c r="BK42" s="1767"/>
      <c r="BL42" s="1767"/>
      <c r="BM42" s="1767"/>
      <c r="BN42" s="1767"/>
      <c r="BO42" s="1767"/>
      <c r="BP42" s="1767"/>
      <c r="BQ42" s="1767"/>
      <c r="BR42" s="1767"/>
      <c r="BS42" s="1767"/>
      <c r="BT42" s="1767"/>
      <c r="BU42" s="1767"/>
      <c r="BV42" s="1767"/>
      <c r="BW42" s="1767"/>
      <c r="BX42" s="1767"/>
      <c r="BY42" s="1767"/>
      <c r="BZ42" s="1767"/>
      <c r="CA42" s="1767"/>
      <c r="CB42" s="1767"/>
      <c r="CC42" s="1767"/>
      <c r="CD42" s="1767"/>
      <c r="CE42" s="1767"/>
      <c r="CF42" s="1767"/>
    </row>
    <row r="43" spans="1:84" ht="11.25" customHeight="1">
      <c r="A43" s="1726"/>
      <c r="B43" s="1083"/>
      <c r="C43" s="348"/>
      <c r="D43" s="2609"/>
      <c r="E43" s="2600"/>
      <c r="F43" s="2365" t="s">
        <v>92</v>
      </c>
      <c r="G43" s="2602"/>
      <c r="H43" s="2371"/>
      <c r="I43" s="2604"/>
      <c r="J43" s="2605"/>
      <c r="K43" s="2607"/>
      <c r="L43" s="581"/>
      <c r="M43" s="582"/>
      <c r="N43" s="583" t="s">
        <v>652</v>
      </c>
      <c r="O43" s="583"/>
      <c r="P43" s="583"/>
      <c r="Q43" s="583"/>
      <c r="R43" s="584"/>
      <c r="S43" s="2439"/>
      <c r="T43" s="653"/>
      <c r="U43" s="2609"/>
      <c r="V43" s="2609"/>
      <c r="W43" s="1767"/>
      <c r="X43" s="1767"/>
      <c r="Y43" s="1767"/>
      <c r="Z43" s="1767"/>
      <c r="AA43" s="1767"/>
      <c r="AB43" s="1767"/>
      <c r="AC43" s="2609"/>
      <c r="AD43" s="1767"/>
      <c r="AE43" s="1767"/>
      <c r="AF43" s="1767"/>
      <c r="AG43" s="1767"/>
      <c r="AH43" s="1767"/>
      <c r="AI43" s="1767"/>
      <c r="AJ43" s="1767"/>
      <c r="AK43" s="1767"/>
      <c r="AL43" s="1767"/>
      <c r="AM43" s="1767"/>
      <c r="AN43" s="1767"/>
      <c r="AO43" s="1767"/>
      <c r="AP43" s="1767"/>
      <c r="AQ43" s="1767"/>
      <c r="AR43" s="1767"/>
      <c r="AS43" s="1767"/>
      <c r="AT43" s="1767"/>
      <c r="AU43" s="1767"/>
      <c r="AV43" s="1767"/>
      <c r="AW43" s="1767"/>
      <c r="AX43" s="1767"/>
      <c r="AY43" s="1767"/>
      <c r="AZ43" s="1767"/>
      <c r="BA43" s="1767"/>
      <c r="BB43" s="1767"/>
      <c r="BC43" s="1767"/>
      <c r="BD43" s="1767"/>
      <c r="BE43" s="1767"/>
      <c r="BF43" s="1767"/>
      <c r="BG43" s="1767"/>
      <c r="BH43" s="1767"/>
      <c r="BI43" s="1767"/>
      <c r="BJ43" s="1767"/>
      <c r="BK43" s="1767"/>
      <c r="BL43" s="1767"/>
      <c r="BM43" s="1767"/>
      <c r="BN43" s="1767"/>
      <c r="BO43" s="1767"/>
      <c r="BP43" s="1767"/>
      <c r="BQ43" s="1767"/>
      <c r="BR43" s="1767"/>
      <c r="BS43" s="1767"/>
      <c r="BT43" s="1767"/>
      <c r="BU43" s="1767"/>
      <c r="BV43" s="1767"/>
      <c r="BW43" s="1767"/>
      <c r="BX43" s="1767"/>
      <c r="BY43" s="1767"/>
      <c r="BZ43" s="1767"/>
      <c r="CA43" s="1767"/>
      <c r="CB43" s="1767"/>
      <c r="CC43" s="1767"/>
      <c r="CD43" s="1767"/>
      <c r="CE43" s="1767"/>
      <c r="CF43" s="1767"/>
    </row>
    <row r="44" spans="1:84" ht="11.25" customHeight="1">
      <c r="A44" s="1726"/>
      <c r="B44" s="1083"/>
      <c r="C44" s="348"/>
      <c r="D44" s="2609"/>
      <c r="E44" s="2608"/>
      <c r="F44" s="2608"/>
      <c r="G44" s="2608"/>
      <c r="H44" s="2371" t="s">
        <v>104</v>
      </c>
      <c r="I44" s="2604" t="s">
        <v>653</v>
      </c>
      <c r="J44" s="2605" t="s">
        <v>658</v>
      </c>
      <c r="K44" s="2606" t="s">
        <v>674</v>
      </c>
      <c r="L44" s="576"/>
      <c r="M44" s="577" t="s">
        <v>100</v>
      </c>
      <c r="N44" s="1715" t="s">
        <v>675</v>
      </c>
      <c r="O44" s="578">
        <f>Q44</f>
        <v>928.3</v>
      </c>
      <c r="P44" s="579" t="s">
        <v>569</v>
      </c>
      <c r="Q44" s="578">
        <v>928.3</v>
      </c>
      <c r="R44" s="580">
        <v>0</v>
      </c>
      <c r="S44" s="2609"/>
      <c r="T44" s="653"/>
      <c r="U44" s="2609"/>
      <c r="V44" s="2609"/>
      <c r="W44" s="1767"/>
      <c r="X44" s="1767"/>
      <c r="Y44" s="1767"/>
      <c r="Z44" s="1767"/>
      <c r="AA44" s="1767"/>
      <c r="AB44" s="1767"/>
      <c r="AC44" s="2609"/>
      <c r="AD44" s="1767"/>
      <c r="AE44" s="1767"/>
      <c r="AF44" s="1767"/>
      <c r="AG44" s="1767"/>
      <c r="AH44" s="1767"/>
      <c r="AI44" s="1767"/>
      <c r="AJ44" s="1767"/>
      <c r="AK44" s="1767"/>
      <c r="AL44" s="1767"/>
      <c r="AM44" s="1767"/>
      <c r="AN44" s="1767"/>
      <c r="AO44" s="1767"/>
      <c r="AP44" s="1767"/>
      <c r="AQ44" s="1767"/>
      <c r="AR44" s="1767"/>
      <c r="AS44" s="1767"/>
      <c r="AT44" s="1767"/>
      <c r="AU44" s="1767"/>
      <c r="AV44" s="1767"/>
      <c r="AW44" s="1767"/>
      <c r="AX44" s="1767"/>
      <c r="AY44" s="1767"/>
      <c r="AZ44" s="1767"/>
      <c r="BA44" s="1767"/>
      <c r="BB44" s="1767"/>
      <c r="BC44" s="1767"/>
      <c r="BD44" s="1767"/>
      <c r="BE44" s="1767"/>
      <c r="BF44" s="1767"/>
      <c r="BG44" s="1767"/>
      <c r="BH44" s="1767"/>
      <c r="BI44" s="1767"/>
      <c r="BJ44" s="1767"/>
      <c r="BK44" s="1767"/>
      <c r="BL44" s="1767"/>
      <c r="BM44" s="1767"/>
      <c r="BN44" s="1767"/>
      <c r="BO44" s="1767"/>
      <c r="BP44" s="1767"/>
      <c r="BQ44" s="1767"/>
      <c r="BR44" s="1767"/>
      <c r="BS44" s="1767"/>
      <c r="BT44" s="1767"/>
      <c r="BU44" s="1767"/>
      <c r="BV44" s="1767"/>
      <c r="BW44" s="1767"/>
      <c r="BX44" s="1767"/>
      <c r="BY44" s="1767"/>
      <c r="BZ44" s="1767"/>
      <c r="CA44" s="1767"/>
      <c r="CB44" s="1767"/>
      <c r="CC44" s="1767"/>
      <c r="CD44" s="1767"/>
      <c r="CE44" s="1767"/>
      <c r="CF44" s="1767"/>
    </row>
    <row r="45" spans="1:84" ht="11.25" customHeight="1">
      <c r="A45" s="1726"/>
      <c r="B45" s="1083"/>
      <c r="C45" s="348"/>
      <c r="D45" s="2609"/>
      <c r="E45" s="2608"/>
      <c r="F45" s="2608"/>
      <c r="G45" s="2608"/>
      <c r="H45" s="2371"/>
      <c r="I45" s="2604" t="s">
        <v>649</v>
      </c>
      <c r="J45" s="2605"/>
      <c r="K45" s="2607"/>
      <c r="L45" s="581"/>
      <c r="M45" s="582"/>
      <c r="N45" s="583" t="s">
        <v>652</v>
      </c>
      <c r="O45" s="583"/>
      <c r="P45" s="583"/>
      <c r="Q45" s="583"/>
      <c r="R45" s="584"/>
      <c r="S45" s="2609"/>
      <c r="T45" s="653"/>
      <c r="U45" s="2609"/>
      <c r="V45" s="2609"/>
      <c r="W45" s="1767"/>
      <c r="X45" s="1767"/>
      <c r="Y45" s="1767"/>
      <c r="Z45" s="1767"/>
      <c r="AA45" s="1767"/>
      <c r="AB45" s="1767"/>
      <c r="AC45" s="2609"/>
      <c r="AD45" s="1767"/>
      <c r="AE45" s="1767"/>
      <c r="AF45" s="1767"/>
      <c r="AG45" s="1767"/>
      <c r="AH45" s="1767"/>
      <c r="AI45" s="1767"/>
      <c r="AJ45" s="1767"/>
      <c r="AK45" s="1767"/>
      <c r="AL45" s="1767"/>
      <c r="AM45" s="1767"/>
      <c r="AN45" s="1767"/>
      <c r="AO45" s="1767"/>
      <c r="AP45" s="1767"/>
      <c r="AQ45" s="1767"/>
      <c r="AR45" s="1767"/>
      <c r="AS45" s="1767"/>
      <c r="AT45" s="1767"/>
      <c r="AU45" s="1767"/>
      <c r="AV45" s="1767"/>
      <c r="AW45" s="1767"/>
      <c r="AX45" s="1767"/>
      <c r="AY45" s="1767"/>
      <c r="AZ45" s="1767"/>
      <c r="BA45" s="1767"/>
      <c r="BB45" s="1767"/>
      <c r="BC45" s="1767"/>
      <c r="BD45" s="1767"/>
      <c r="BE45" s="1767"/>
      <c r="BF45" s="1767"/>
      <c r="BG45" s="1767"/>
      <c r="BH45" s="1767"/>
      <c r="BI45" s="1767"/>
      <c r="BJ45" s="1767"/>
      <c r="BK45" s="1767"/>
      <c r="BL45" s="1767"/>
      <c r="BM45" s="1767"/>
      <c r="BN45" s="1767"/>
      <c r="BO45" s="1767"/>
      <c r="BP45" s="1767"/>
      <c r="BQ45" s="1767"/>
      <c r="BR45" s="1767"/>
      <c r="BS45" s="1767"/>
      <c r="BT45" s="1767"/>
      <c r="BU45" s="1767"/>
      <c r="BV45" s="1767"/>
      <c r="BW45" s="1767"/>
      <c r="BX45" s="1767"/>
      <c r="BY45" s="1767"/>
      <c r="BZ45" s="1767"/>
      <c r="CA45" s="1767"/>
      <c r="CB45" s="1767"/>
      <c r="CC45" s="1767"/>
      <c r="CD45" s="1767"/>
      <c r="CE45" s="1767"/>
      <c r="CF45" s="1767"/>
    </row>
    <row r="46" spans="1:84" ht="11.25" customHeight="1">
      <c r="A46" s="1726"/>
      <c r="B46" s="1083"/>
      <c r="C46" s="348"/>
      <c r="D46" s="2609"/>
      <c r="E46" s="2601"/>
      <c r="F46" s="2365" t="s">
        <v>92</v>
      </c>
      <c r="G46" s="2603"/>
      <c r="H46" s="581" t="s">
        <v>22</v>
      </c>
      <c r="I46" s="582"/>
      <c r="J46" s="583" t="s">
        <v>656</v>
      </c>
      <c r="K46" s="583"/>
      <c r="L46" s="583"/>
      <c r="M46" s="583"/>
      <c r="N46" s="583"/>
      <c r="O46" s="583"/>
      <c r="P46" s="583"/>
      <c r="Q46" s="583"/>
      <c r="R46" s="584"/>
      <c r="S46" s="2439"/>
      <c r="T46" s="653"/>
      <c r="U46" s="2609"/>
      <c r="V46" s="2609"/>
      <c r="W46" s="1767"/>
      <c r="X46" s="1767"/>
      <c r="Y46" s="1767"/>
      <c r="Z46" s="1767"/>
      <c r="AA46" s="1767"/>
      <c r="AB46" s="1767"/>
      <c r="AC46" s="2609"/>
      <c r="AD46" s="1767"/>
      <c r="AE46" s="1767"/>
      <c r="AF46" s="1767"/>
      <c r="AG46" s="1767"/>
      <c r="AH46" s="1767"/>
      <c r="AI46" s="1767"/>
      <c r="AJ46" s="1767"/>
      <c r="AK46" s="1767"/>
      <c r="AL46" s="1767"/>
      <c r="AM46" s="1767"/>
      <c r="AN46" s="1767"/>
      <c r="AO46" s="1767"/>
      <c r="AP46" s="1767"/>
      <c r="AQ46" s="1767"/>
      <c r="AR46" s="1767"/>
      <c r="AS46" s="1767"/>
      <c r="AT46" s="1767"/>
      <c r="AU46" s="1767"/>
      <c r="AV46" s="1767"/>
      <c r="AW46" s="1767"/>
      <c r="AX46" s="1767"/>
      <c r="AY46" s="1767"/>
      <c r="AZ46" s="1767"/>
      <c r="BA46" s="1767"/>
      <c r="BB46" s="1767"/>
      <c r="BC46" s="1767"/>
      <c r="BD46" s="1767"/>
      <c r="BE46" s="1767"/>
      <c r="BF46" s="1767"/>
      <c r="BG46" s="1767"/>
      <c r="BH46" s="1767"/>
      <c r="BI46" s="1767"/>
      <c r="BJ46" s="1767"/>
      <c r="BK46" s="1767"/>
      <c r="BL46" s="1767"/>
      <c r="BM46" s="1767"/>
      <c r="BN46" s="1767"/>
      <c r="BO46" s="1767"/>
      <c r="BP46" s="1767"/>
      <c r="BQ46" s="1767"/>
      <c r="BR46" s="1767"/>
      <c r="BS46" s="1767"/>
      <c r="BT46" s="1767"/>
      <c r="BU46" s="1767"/>
      <c r="BV46" s="1767"/>
      <c r="BW46" s="1767"/>
      <c r="BX46" s="1767"/>
      <c r="BY46" s="1767"/>
      <c r="BZ46" s="1767"/>
      <c r="CA46" s="1767"/>
      <c r="CB46" s="1767"/>
      <c r="CC46" s="1767"/>
      <c r="CD46" s="1767"/>
      <c r="CE46" s="1767"/>
      <c r="CF46" s="1767"/>
    </row>
    <row r="47" spans="1:84" ht="45" customHeight="1">
      <c r="A47" s="1726"/>
      <c r="B47" s="1083"/>
      <c r="C47" s="348"/>
      <c r="D47" s="2609"/>
      <c r="E47" s="2599" t="s">
        <v>104</v>
      </c>
      <c r="F47" s="2365" t="s">
        <v>93</v>
      </c>
      <c r="G47" s="2602" t="s">
        <v>676</v>
      </c>
      <c r="H47" s="226"/>
      <c r="I47" s="573" t="s">
        <v>100</v>
      </c>
      <c r="J47" s="1727" t="s">
        <v>648</v>
      </c>
      <c r="K47" s="574" t="s">
        <v>563</v>
      </c>
      <c r="L47" s="2479" t="s">
        <v>563</v>
      </c>
      <c r="M47" s="2415"/>
      <c r="N47" s="574" t="s">
        <v>563</v>
      </c>
      <c r="O47" s="574" t="s">
        <v>563</v>
      </c>
      <c r="P47" s="574" t="s">
        <v>563</v>
      </c>
      <c r="Q47" s="575">
        <f>SUM(Q48:Q52)</f>
        <v>861</v>
      </c>
      <c r="R47" s="575">
        <f>IF('Показатели ФХД'!I89=0,0,($Q$47/'Показатели ФХД'!I89)*100)</f>
        <v>1.5759067333392731</v>
      </c>
      <c r="S47" s="2439"/>
      <c r="T47" s="653" t="s">
        <v>646</v>
      </c>
      <c r="U47" s="2609"/>
      <c r="V47" s="2609"/>
      <c r="W47" s="1767"/>
      <c r="X47" s="1767"/>
      <c r="Y47" s="1767"/>
      <c r="Z47" s="1767"/>
      <c r="AA47" s="1767"/>
      <c r="AB47" s="1767"/>
      <c r="AC47" s="2609"/>
      <c r="AD47" s="1767"/>
      <c r="AE47" s="1767"/>
      <c r="AF47" s="1767"/>
      <c r="AG47" s="1767"/>
      <c r="AH47" s="1767"/>
      <c r="AI47" s="1767"/>
      <c r="AJ47" s="1767"/>
      <c r="AK47" s="1767"/>
      <c r="AL47" s="1767"/>
      <c r="AM47" s="1767"/>
      <c r="AN47" s="1767"/>
      <c r="AO47" s="1767"/>
      <c r="AP47" s="1767"/>
      <c r="AQ47" s="1767"/>
      <c r="AR47" s="1767"/>
      <c r="AS47" s="1767"/>
      <c r="AT47" s="1767"/>
      <c r="AU47" s="1767"/>
      <c r="AV47" s="1767"/>
      <c r="AW47" s="1767"/>
      <c r="AX47" s="1767"/>
      <c r="AY47" s="1767"/>
      <c r="AZ47" s="1767"/>
      <c r="BA47" s="1767"/>
      <c r="BB47" s="1767"/>
      <c r="BC47" s="1767"/>
      <c r="BD47" s="1767"/>
      <c r="BE47" s="1767"/>
      <c r="BF47" s="1767"/>
      <c r="BG47" s="1767"/>
      <c r="BH47" s="1767"/>
      <c r="BI47" s="1767"/>
      <c r="BJ47" s="1767"/>
      <c r="BK47" s="1767"/>
      <c r="BL47" s="1767"/>
      <c r="BM47" s="1767"/>
      <c r="BN47" s="1767"/>
      <c r="BO47" s="1767"/>
      <c r="BP47" s="1767"/>
      <c r="BQ47" s="1767"/>
      <c r="BR47" s="1767"/>
      <c r="BS47" s="1767"/>
      <c r="BT47" s="1767"/>
      <c r="BU47" s="1767"/>
      <c r="BV47" s="1767"/>
      <c r="BW47" s="1767"/>
      <c r="BX47" s="1767"/>
      <c r="BY47" s="1767"/>
      <c r="BZ47" s="1767"/>
      <c r="CA47" s="1767"/>
      <c r="CB47" s="1767"/>
      <c r="CC47" s="1767"/>
      <c r="CD47" s="1767"/>
      <c r="CE47" s="1767"/>
      <c r="CF47" s="1767"/>
    </row>
    <row r="48" spans="1:84" ht="11.25" customHeight="1">
      <c r="A48" s="1726"/>
      <c r="B48" s="1083"/>
      <c r="C48" s="348"/>
      <c r="D48" s="2609"/>
      <c r="E48" s="2600"/>
      <c r="F48" s="2365" t="s">
        <v>123</v>
      </c>
      <c r="G48" s="2602"/>
      <c r="H48" s="2371"/>
      <c r="I48" s="2604" t="s">
        <v>649</v>
      </c>
      <c r="J48" s="2605" t="s">
        <v>658</v>
      </c>
      <c r="K48" s="2606" t="s">
        <v>677</v>
      </c>
      <c r="L48" s="576"/>
      <c r="M48" s="577" t="s">
        <v>100</v>
      </c>
      <c r="N48" s="1715" t="s">
        <v>678</v>
      </c>
      <c r="O48" s="578">
        <f>Q48</f>
        <v>398.25</v>
      </c>
      <c r="P48" s="579" t="s">
        <v>569</v>
      </c>
      <c r="Q48" s="578">
        <v>398.25</v>
      </c>
      <c r="R48" s="580">
        <v>0</v>
      </c>
      <c r="S48" s="2439"/>
      <c r="T48" s="653"/>
      <c r="U48" s="2609"/>
      <c r="V48" s="2609"/>
      <c r="W48" s="1767"/>
      <c r="X48" s="1767"/>
      <c r="Y48" s="1767"/>
      <c r="Z48" s="1767"/>
      <c r="AA48" s="1767"/>
      <c r="AB48" s="1767"/>
      <c r="AC48" s="2609"/>
      <c r="AD48" s="1767"/>
      <c r="AE48" s="1767"/>
      <c r="AF48" s="1767"/>
      <c r="AG48" s="1767"/>
      <c r="AH48" s="1767"/>
      <c r="AI48" s="1767"/>
      <c r="AJ48" s="1767"/>
      <c r="AK48" s="1767"/>
      <c r="AL48" s="1767"/>
      <c r="AM48" s="1767"/>
      <c r="AN48" s="1767"/>
      <c r="AO48" s="1767"/>
      <c r="AP48" s="1767"/>
      <c r="AQ48" s="1767"/>
      <c r="AR48" s="1767"/>
      <c r="AS48" s="1767"/>
      <c r="AT48" s="1767"/>
      <c r="AU48" s="1767"/>
      <c r="AV48" s="1767"/>
      <c r="AW48" s="1767"/>
      <c r="AX48" s="1767"/>
      <c r="AY48" s="1767"/>
      <c r="AZ48" s="1767"/>
      <c r="BA48" s="1767"/>
      <c r="BB48" s="1767"/>
      <c r="BC48" s="1767"/>
      <c r="BD48" s="1767"/>
      <c r="BE48" s="1767"/>
      <c r="BF48" s="1767"/>
      <c r="BG48" s="1767"/>
      <c r="BH48" s="1767"/>
      <c r="BI48" s="1767"/>
      <c r="BJ48" s="1767"/>
      <c r="BK48" s="1767"/>
      <c r="BL48" s="1767"/>
      <c r="BM48" s="1767"/>
      <c r="BN48" s="1767"/>
      <c r="BO48" s="1767"/>
      <c r="BP48" s="1767"/>
      <c r="BQ48" s="1767"/>
      <c r="BR48" s="1767"/>
      <c r="BS48" s="1767"/>
      <c r="BT48" s="1767"/>
      <c r="BU48" s="1767"/>
      <c r="BV48" s="1767"/>
      <c r="BW48" s="1767"/>
      <c r="BX48" s="1767"/>
      <c r="BY48" s="1767"/>
      <c r="BZ48" s="1767"/>
      <c r="CA48" s="1767"/>
      <c r="CB48" s="1767"/>
      <c r="CC48" s="1767"/>
      <c r="CD48" s="1767"/>
      <c r="CE48" s="1767"/>
      <c r="CF48" s="1767"/>
    </row>
    <row r="49" spans="1:84" ht="11.25" customHeight="1">
      <c r="A49" s="1726"/>
      <c r="B49" s="1083"/>
      <c r="C49" s="348"/>
      <c r="D49" s="2609"/>
      <c r="E49" s="2600"/>
      <c r="F49" s="2365" t="s">
        <v>123</v>
      </c>
      <c r="G49" s="2602"/>
      <c r="H49" s="2371"/>
      <c r="I49" s="2604"/>
      <c r="J49" s="2605"/>
      <c r="K49" s="2607"/>
      <c r="L49" s="581"/>
      <c r="M49" s="582"/>
      <c r="N49" s="583" t="s">
        <v>652</v>
      </c>
      <c r="O49" s="583"/>
      <c r="P49" s="583"/>
      <c r="Q49" s="583"/>
      <c r="R49" s="584"/>
      <c r="S49" s="2439"/>
      <c r="T49" s="653"/>
      <c r="U49" s="2609"/>
      <c r="V49" s="2609"/>
      <c r="W49" s="1767"/>
      <c r="X49" s="1767"/>
      <c r="Y49" s="1767"/>
      <c r="Z49" s="1767"/>
      <c r="AA49" s="1767"/>
      <c r="AB49" s="1767"/>
      <c r="AC49" s="2609"/>
      <c r="AD49" s="1767"/>
      <c r="AE49" s="1767"/>
      <c r="AF49" s="1767"/>
      <c r="AG49" s="1767"/>
      <c r="AH49" s="1767"/>
      <c r="AI49" s="1767"/>
      <c r="AJ49" s="1767"/>
      <c r="AK49" s="1767"/>
      <c r="AL49" s="1767"/>
      <c r="AM49" s="1767"/>
      <c r="AN49" s="1767"/>
      <c r="AO49" s="1767"/>
      <c r="AP49" s="1767"/>
      <c r="AQ49" s="1767"/>
      <c r="AR49" s="1767"/>
      <c r="AS49" s="1767"/>
      <c r="AT49" s="1767"/>
      <c r="AU49" s="1767"/>
      <c r="AV49" s="1767"/>
      <c r="AW49" s="1767"/>
      <c r="AX49" s="1767"/>
      <c r="AY49" s="1767"/>
      <c r="AZ49" s="1767"/>
      <c r="BA49" s="1767"/>
      <c r="BB49" s="1767"/>
      <c r="BC49" s="1767"/>
      <c r="BD49" s="1767"/>
      <c r="BE49" s="1767"/>
      <c r="BF49" s="1767"/>
      <c r="BG49" s="1767"/>
      <c r="BH49" s="1767"/>
      <c r="BI49" s="1767"/>
      <c r="BJ49" s="1767"/>
      <c r="BK49" s="1767"/>
      <c r="BL49" s="1767"/>
      <c r="BM49" s="1767"/>
      <c r="BN49" s="1767"/>
      <c r="BO49" s="1767"/>
      <c r="BP49" s="1767"/>
      <c r="BQ49" s="1767"/>
      <c r="BR49" s="1767"/>
      <c r="BS49" s="1767"/>
      <c r="BT49" s="1767"/>
      <c r="BU49" s="1767"/>
      <c r="BV49" s="1767"/>
      <c r="BW49" s="1767"/>
      <c r="BX49" s="1767"/>
      <c r="BY49" s="1767"/>
      <c r="BZ49" s="1767"/>
      <c r="CA49" s="1767"/>
      <c r="CB49" s="1767"/>
      <c r="CC49" s="1767"/>
      <c r="CD49" s="1767"/>
      <c r="CE49" s="1767"/>
      <c r="CF49" s="1767"/>
    </row>
    <row r="50" spans="1:84" ht="11.25" customHeight="1">
      <c r="A50" s="1726"/>
      <c r="B50" s="1083"/>
      <c r="C50" s="348"/>
      <c r="D50" s="2609"/>
      <c r="E50" s="2608"/>
      <c r="F50" s="2608"/>
      <c r="G50" s="2608"/>
      <c r="H50" s="2371" t="s">
        <v>104</v>
      </c>
      <c r="I50" s="2604" t="s">
        <v>653</v>
      </c>
      <c r="J50" s="2605" t="s">
        <v>658</v>
      </c>
      <c r="K50" s="2606" t="s">
        <v>679</v>
      </c>
      <c r="L50" s="576"/>
      <c r="M50" s="577" t="s">
        <v>100</v>
      </c>
      <c r="N50" s="1715" t="s">
        <v>680</v>
      </c>
      <c r="O50" s="578">
        <f>Q50</f>
        <v>462.75</v>
      </c>
      <c r="P50" s="579" t="s">
        <v>569</v>
      </c>
      <c r="Q50" s="578">
        <v>462.75</v>
      </c>
      <c r="R50" s="580">
        <v>0</v>
      </c>
      <c r="S50" s="2609"/>
      <c r="T50" s="653"/>
      <c r="U50" s="2609"/>
      <c r="V50" s="2609"/>
      <c r="W50" s="1767"/>
      <c r="X50" s="1767"/>
      <c r="Y50" s="1767"/>
      <c r="Z50" s="1767"/>
      <c r="AA50" s="1767"/>
      <c r="AB50" s="1767"/>
      <c r="AC50" s="2609"/>
      <c r="AD50" s="1767"/>
      <c r="AE50" s="1767"/>
      <c r="AF50" s="1767"/>
      <c r="AG50" s="1767"/>
      <c r="AH50" s="1767"/>
      <c r="AI50" s="1767"/>
      <c r="AJ50" s="1767"/>
      <c r="AK50" s="1767"/>
      <c r="AL50" s="1767"/>
      <c r="AM50" s="1767"/>
      <c r="AN50" s="1767"/>
      <c r="AO50" s="1767"/>
      <c r="AP50" s="1767"/>
      <c r="AQ50" s="1767"/>
      <c r="AR50" s="1767"/>
      <c r="AS50" s="1767"/>
      <c r="AT50" s="1767"/>
      <c r="AU50" s="1767"/>
      <c r="AV50" s="1767"/>
      <c r="AW50" s="1767"/>
      <c r="AX50" s="1767"/>
      <c r="AY50" s="1767"/>
      <c r="AZ50" s="1767"/>
      <c r="BA50" s="1767"/>
      <c r="BB50" s="1767"/>
      <c r="BC50" s="1767"/>
      <c r="BD50" s="1767"/>
      <c r="BE50" s="1767"/>
      <c r="BF50" s="1767"/>
      <c r="BG50" s="1767"/>
      <c r="BH50" s="1767"/>
      <c r="BI50" s="1767"/>
      <c r="BJ50" s="1767"/>
      <c r="BK50" s="1767"/>
      <c r="BL50" s="1767"/>
      <c r="BM50" s="1767"/>
      <c r="BN50" s="1767"/>
      <c r="BO50" s="1767"/>
      <c r="BP50" s="1767"/>
      <c r="BQ50" s="1767"/>
      <c r="BR50" s="1767"/>
      <c r="BS50" s="1767"/>
      <c r="BT50" s="1767"/>
      <c r="BU50" s="1767"/>
      <c r="BV50" s="1767"/>
      <c r="BW50" s="1767"/>
      <c r="BX50" s="1767"/>
      <c r="BY50" s="1767"/>
      <c r="BZ50" s="1767"/>
      <c r="CA50" s="1767"/>
      <c r="CB50" s="1767"/>
      <c r="CC50" s="1767"/>
      <c r="CD50" s="1767"/>
      <c r="CE50" s="1767"/>
      <c r="CF50" s="1767"/>
    </row>
    <row r="51" spans="1:84" ht="11.25" customHeight="1">
      <c r="A51" s="1726"/>
      <c r="B51" s="1083"/>
      <c r="C51" s="348"/>
      <c r="D51" s="2609"/>
      <c r="E51" s="2608"/>
      <c r="F51" s="2608"/>
      <c r="G51" s="2608"/>
      <c r="H51" s="2371"/>
      <c r="I51" s="2604" t="s">
        <v>649</v>
      </c>
      <c r="J51" s="2605"/>
      <c r="K51" s="2607"/>
      <c r="L51" s="581"/>
      <c r="M51" s="582"/>
      <c r="N51" s="583" t="s">
        <v>652</v>
      </c>
      <c r="O51" s="583"/>
      <c r="P51" s="583"/>
      <c r="Q51" s="583"/>
      <c r="R51" s="584"/>
      <c r="S51" s="2609"/>
      <c r="T51" s="653"/>
      <c r="U51" s="2609"/>
      <c r="V51" s="2609"/>
      <c r="W51" s="1767"/>
      <c r="X51" s="1767"/>
      <c r="Y51" s="1767"/>
      <c r="Z51" s="1767"/>
      <c r="AA51" s="1767"/>
      <c r="AB51" s="1767"/>
      <c r="AC51" s="2609"/>
      <c r="AD51" s="1767"/>
      <c r="AE51" s="1767"/>
      <c r="AF51" s="1767"/>
      <c r="AG51" s="1767"/>
      <c r="AH51" s="1767"/>
      <c r="AI51" s="1767"/>
      <c r="AJ51" s="1767"/>
      <c r="AK51" s="1767"/>
      <c r="AL51" s="1767"/>
      <c r="AM51" s="1767"/>
      <c r="AN51" s="1767"/>
      <c r="AO51" s="1767"/>
      <c r="AP51" s="1767"/>
      <c r="AQ51" s="1767"/>
      <c r="AR51" s="1767"/>
      <c r="AS51" s="1767"/>
      <c r="AT51" s="1767"/>
      <c r="AU51" s="1767"/>
      <c r="AV51" s="1767"/>
      <c r="AW51" s="1767"/>
      <c r="AX51" s="1767"/>
      <c r="AY51" s="1767"/>
      <c r="AZ51" s="1767"/>
      <c r="BA51" s="1767"/>
      <c r="BB51" s="1767"/>
      <c r="BC51" s="1767"/>
      <c r="BD51" s="1767"/>
      <c r="BE51" s="1767"/>
      <c r="BF51" s="1767"/>
      <c r="BG51" s="1767"/>
      <c r="BH51" s="1767"/>
      <c r="BI51" s="1767"/>
      <c r="BJ51" s="1767"/>
      <c r="BK51" s="1767"/>
      <c r="BL51" s="1767"/>
      <c r="BM51" s="1767"/>
      <c r="BN51" s="1767"/>
      <c r="BO51" s="1767"/>
      <c r="BP51" s="1767"/>
      <c r="BQ51" s="1767"/>
      <c r="BR51" s="1767"/>
      <c r="BS51" s="1767"/>
      <c r="BT51" s="1767"/>
      <c r="BU51" s="1767"/>
      <c r="BV51" s="1767"/>
      <c r="BW51" s="1767"/>
      <c r="BX51" s="1767"/>
      <c r="BY51" s="1767"/>
      <c r="BZ51" s="1767"/>
      <c r="CA51" s="1767"/>
      <c r="CB51" s="1767"/>
      <c r="CC51" s="1767"/>
      <c r="CD51" s="1767"/>
      <c r="CE51" s="1767"/>
      <c r="CF51" s="1767"/>
    </row>
    <row r="52" spans="1:84" ht="11.25" customHeight="1">
      <c r="A52" s="1726"/>
      <c r="B52" s="1083"/>
      <c r="C52" s="348"/>
      <c r="D52" s="2609"/>
      <c r="E52" s="2601"/>
      <c r="F52" s="2365" t="s">
        <v>123</v>
      </c>
      <c r="G52" s="2603"/>
      <c r="H52" s="581" t="s">
        <v>22</v>
      </c>
      <c r="I52" s="582"/>
      <c r="J52" s="583" t="s">
        <v>656</v>
      </c>
      <c r="K52" s="583"/>
      <c r="L52" s="583"/>
      <c r="M52" s="583"/>
      <c r="N52" s="583"/>
      <c r="O52" s="583"/>
      <c r="P52" s="583"/>
      <c r="Q52" s="583"/>
      <c r="R52" s="584"/>
      <c r="S52" s="2439"/>
      <c r="T52" s="653"/>
      <c r="U52" s="2609"/>
      <c r="V52" s="2609"/>
      <c r="W52" s="1767"/>
      <c r="X52" s="1767"/>
      <c r="Y52" s="1767"/>
      <c r="Z52" s="1767"/>
      <c r="AA52" s="1767"/>
      <c r="AB52" s="1767"/>
      <c r="AC52" s="2609"/>
      <c r="AD52" s="1767"/>
      <c r="AE52" s="1767"/>
      <c r="AF52" s="1767"/>
      <c r="AG52" s="1767"/>
      <c r="AH52" s="1767"/>
      <c r="AI52" s="1767"/>
      <c r="AJ52" s="1767"/>
      <c r="AK52" s="1767"/>
      <c r="AL52" s="1767"/>
      <c r="AM52" s="1767"/>
      <c r="AN52" s="1767"/>
      <c r="AO52" s="1767"/>
      <c r="AP52" s="1767"/>
      <c r="AQ52" s="1767"/>
      <c r="AR52" s="1767"/>
      <c r="AS52" s="1767"/>
      <c r="AT52" s="1767"/>
      <c r="AU52" s="1767"/>
      <c r="AV52" s="1767"/>
      <c r="AW52" s="1767"/>
      <c r="AX52" s="1767"/>
      <c r="AY52" s="1767"/>
      <c r="AZ52" s="1767"/>
      <c r="BA52" s="1767"/>
      <c r="BB52" s="1767"/>
      <c r="BC52" s="1767"/>
      <c r="BD52" s="1767"/>
      <c r="BE52" s="1767"/>
      <c r="BF52" s="1767"/>
      <c r="BG52" s="1767"/>
      <c r="BH52" s="1767"/>
      <c r="BI52" s="1767"/>
      <c r="BJ52" s="1767"/>
      <c r="BK52" s="1767"/>
      <c r="BL52" s="1767"/>
      <c r="BM52" s="1767"/>
      <c r="BN52" s="1767"/>
      <c r="BO52" s="1767"/>
      <c r="BP52" s="1767"/>
      <c r="BQ52" s="1767"/>
      <c r="BR52" s="1767"/>
      <c r="BS52" s="1767"/>
      <c r="BT52" s="1767"/>
      <c r="BU52" s="1767"/>
      <c r="BV52" s="1767"/>
      <c r="BW52" s="1767"/>
      <c r="BX52" s="1767"/>
      <c r="BY52" s="1767"/>
      <c r="BZ52" s="1767"/>
      <c r="CA52" s="1767"/>
      <c r="CB52" s="1767"/>
      <c r="CC52" s="1767"/>
      <c r="CD52" s="1767"/>
      <c r="CE52" s="1767"/>
      <c r="CF52" s="1767"/>
    </row>
    <row r="53" spans="1:84" s="1767" customFormat="1" ht="11.25" customHeight="1">
      <c r="A53" s="569"/>
      <c r="B53" s="353"/>
      <c r="C53" s="348"/>
      <c r="D53" s="2621"/>
      <c r="E53" s="585" t="s">
        <v>22</v>
      </c>
      <c r="F53" s="586" t="s">
        <v>22</v>
      </c>
      <c r="G53" s="586" t="s">
        <v>681</v>
      </c>
      <c r="H53" s="587" t="s">
        <v>22</v>
      </c>
      <c r="I53" s="587"/>
      <c r="J53" s="587"/>
      <c r="K53" s="587"/>
      <c r="L53" s="587"/>
      <c r="M53" s="587"/>
      <c r="N53" s="587"/>
      <c r="O53" s="587"/>
      <c r="P53" s="587"/>
      <c r="Q53" s="587"/>
      <c r="R53" s="588"/>
      <c r="S53" s="947"/>
      <c r="T53" s="654"/>
      <c r="U53" s="2505"/>
      <c r="V53" s="2505"/>
      <c r="W53" s="353"/>
      <c r="X53" s="353"/>
      <c r="Y53" s="353"/>
      <c r="Z53" s="353"/>
      <c r="AA53" s="447"/>
      <c r="AB53" s="353"/>
      <c r="AC53" s="2617"/>
      <c r="AD53" s="565"/>
      <c r="AE53" s="353"/>
      <c r="AF53" s="353"/>
      <c r="AG53" s="447"/>
      <c r="AH53" s="447"/>
      <c r="AI53" s="447"/>
      <c r="AJ53" s="447"/>
      <c r="AK53" s="447"/>
      <c r="AL53" s="447"/>
      <c r="AM53" s="447"/>
      <c r="AN53" s="447"/>
      <c r="AO53" s="447"/>
      <c r="AP53" s="447"/>
      <c r="AQ53" s="447"/>
      <c r="AR53" s="447"/>
      <c r="AS53" s="447"/>
      <c r="AT53" s="447"/>
      <c r="AU53" s="447"/>
      <c r="AV53" s="447"/>
      <c r="AW53" s="447"/>
      <c r="AX53" s="447"/>
      <c r="AY53" s="447"/>
      <c r="AZ53" s="447"/>
      <c r="BA53" s="447"/>
      <c r="BB53" s="447"/>
      <c r="BC53" s="447"/>
      <c r="BD53" s="447"/>
      <c r="BE53" s="447"/>
      <c r="BF53" s="447"/>
      <c r="BG53" s="447"/>
      <c r="BH53" s="447"/>
      <c r="BI53" s="447"/>
      <c r="BJ53" s="447"/>
      <c r="BK53" s="447"/>
      <c r="BL53" s="447"/>
      <c r="BM53" s="447"/>
      <c r="BN53" s="447"/>
      <c r="BO53" s="447"/>
      <c r="BP53" s="447"/>
      <c r="BQ53" s="447"/>
      <c r="BR53" s="447"/>
      <c r="BS53" s="447"/>
      <c r="BT53" s="447"/>
      <c r="BU53" s="447"/>
      <c r="BV53" s="353"/>
      <c r="BW53" s="353"/>
      <c r="BX53" s="353"/>
      <c r="BY53" s="353"/>
      <c r="BZ53" s="353"/>
      <c r="CA53" s="353"/>
      <c r="CB53" s="353"/>
      <c r="CC53" s="353"/>
      <c r="CD53" s="353"/>
      <c r="CE53" s="353"/>
      <c r="CF53" s="230">
        <v>0</v>
      </c>
    </row>
    <row r="54" spans="1:84" s="1767" customFormat="1" ht="22.5" hidden="1" customHeight="1">
      <c r="A54" s="569"/>
      <c r="B54" s="353"/>
      <c r="C54" s="348"/>
      <c r="D54" s="2621"/>
      <c r="E54" s="2618" t="s">
        <v>682</v>
      </c>
      <c r="F54" s="2618"/>
      <c r="G54" s="2618"/>
      <c r="H54" s="2618"/>
      <c r="I54" s="2618"/>
      <c r="J54" s="2618"/>
      <c r="K54" s="2618"/>
      <c r="L54" s="2618"/>
      <c r="M54" s="2618"/>
      <c r="N54" s="2618"/>
      <c r="O54" s="2618"/>
      <c r="P54" s="2618"/>
      <c r="Q54" s="494">
        <f>SUMIF(T55:T56,"i",Q55:Q56)</f>
        <v>0</v>
      </c>
      <c r="R54" s="944"/>
      <c r="S54" s="645" t="s">
        <v>683</v>
      </c>
      <c r="T54" s="653" t="s">
        <v>646</v>
      </c>
      <c r="U54" s="2505">
        <v>2</v>
      </c>
      <c r="V54" s="2505" t="str">
        <f>INDEX(B_FHD_FLAG_INDEX_2,1,MATCH(A14,B_FHD_FLAG_DIFFERENTIATION,0))</f>
        <v>отсутствует</v>
      </c>
      <c r="W54" s="353"/>
      <c r="X54" s="353"/>
      <c r="Y54" s="353"/>
      <c r="Z54" s="353"/>
      <c r="AA54" s="447"/>
      <c r="AB54" s="353"/>
      <c r="AC54" s="642"/>
      <c r="AD54" s="565"/>
      <c r="AE54" s="353"/>
      <c r="AF54" s="353"/>
      <c r="AG54" s="447"/>
      <c r="AH54" s="447"/>
      <c r="AI54" s="447"/>
      <c r="AJ54" s="447"/>
      <c r="AK54" s="447"/>
      <c r="AL54" s="447"/>
      <c r="AM54" s="447"/>
      <c r="AN54" s="447"/>
      <c r="AO54" s="447"/>
      <c r="AP54" s="447"/>
      <c r="AQ54" s="447"/>
      <c r="AR54" s="447"/>
      <c r="AS54" s="447"/>
      <c r="AT54" s="447"/>
      <c r="AU54" s="447"/>
      <c r="AV54" s="447"/>
      <c r="AW54" s="447"/>
      <c r="AX54" s="447"/>
      <c r="AY54" s="447"/>
      <c r="AZ54" s="447"/>
      <c r="BA54" s="447"/>
      <c r="BB54" s="447"/>
      <c r="BC54" s="447"/>
      <c r="BD54" s="447"/>
      <c r="BE54" s="447"/>
      <c r="BF54" s="447"/>
      <c r="BG54" s="447"/>
      <c r="BH54" s="447"/>
      <c r="BI54" s="447"/>
      <c r="BJ54" s="447"/>
      <c r="BK54" s="447"/>
      <c r="BL54" s="447"/>
      <c r="BM54" s="447"/>
      <c r="BN54" s="447"/>
      <c r="BO54" s="447"/>
      <c r="BP54" s="447"/>
      <c r="BQ54" s="447"/>
      <c r="BR54" s="447"/>
      <c r="BS54" s="447"/>
      <c r="BT54" s="447"/>
      <c r="BU54" s="447"/>
      <c r="BV54" s="353"/>
      <c r="BW54" s="353"/>
      <c r="BX54" s="353"/>
      <c r="BY54" s="353"/>
      <c r="BZ54" s="353"/>
      <c r="CA54" s="353"/>
      <c r="CB54" s="353"/>
      <c r="CC54" s="353"/>
      <c r="CD54" s="353"/>
      <c r="CE54" s="353"/>
      <c r="CF54" s="230">
        <v>0</v>
      </c>
    </row>
    <row r="55" spans="1:84" s="1767" customFormat="1" ht="11.25" hidden="1" customHeight="1">
      <c r="A55" s="644"/>
      <c r="B55" s="447"/>
      <c r="C55" s="447"/>
      <c r="D55" s="2621"/>
      <c r="E55" s="571"/>
      <c r="F55" s="571">
        <v>0</v>
      </c>
      <c r="G55" s="571"/>
      <c r="H55" s="571"/>
      <c r="I55" s="571"/>
      <c r="J55" s="571"/>
      <c r="K55" s="571"/>
      <c r="L55" s="571"/>
      <c r="M55" s="571"/>
      <c r="N55" s="571"/>
      <c r="O55" s="571"/>
      <c r="P55" s="571"/>
      <c r="Q55" s="571"/>
      <c r="R55" s="571"/>
      <c r="S55" s="572"/>
      <c r="T55" s="654"/>
      <c r="U55" s="2505"/>
      <c r="V55" s="2505"/>
      <c r="W55" s="447"/>
      <c r="X55" s="447"/>
      <c r="Y55" s="447"/>
      <c r="Z55" s="447"/>
      <c r="AA55" s="447"/>
      <c r="AB55" s="353"/>
      <c r="AC55" s="642"/>
      <c r="AD55" s="565"/>
      <c r="AE55" s="353"/>
      <c r="AF55" s="353"/>
      <c r="AG55" s="447"/>
      <c r="AH55" s="447"/>
      <c r="AI55" s="447"/>
      <c r="AJ55" s="447"/>
      <c r="AK55" s="447"/>
      <c r="AL55" s="447"/>
      <c r="AM55" s="447"/>
      <c r="AN55" s="447"/>
      <c r="AO55" s="447"/>
      <c r="AP55" s="447"/>
      <c r="AQ55" s="447"/>
      <c r="AR55" s="447"/>
      <c r="AS55" s="447"/>
      <c r="AT55" s="447"/>
      <c r="AU55" s="447"/>
      <c r="AV55" s="447"/>
      <c r="AW55" s="447"/>
      <c r="AX55" s="447"/>
      <c r="AY55" s="447"/>
      <c r="AZ55" s="447"/>
      <c r="BA55" s="447"/>
      <c r="BB55" s="447"/>
      <c r="BC55" s="447"/>
      <c r="BD55" s="447"/>
      <c r="BE55" s="447"/>
      <c r="BF55" s="447"/>
      <c r="BG55" s="447"/>
      <c r="BH55" s="447"/>
      <c r="BI55" s="447"/>
      <c r="BJ55" s="447"/>
      <c r="BK55" s="447"/>
      <c r="BL55" s="447"/>
      <c r="BM55" s="447"/>
      <c r="BN55" s="447"/>
      <c r="BO55" s="447"/>
      <c r="BP55" s="447"/>
      <c r="BQ55" s="447"/>
      <c r="BR55" s="447"/>
      <c r="BS55" s="447"/>
      <c r="BT55" s="447"/>
      <c r="BU55" s="447"/>
      <c r="BV55" s="447"/>
      <c r="BW55" s="447"/>
      <c r="BX55" s="447"/>
      <c r="BY55" s="447"/>
      <c r="BZ55" s="447"/>
      <c r="CA55" s="447"/>
      <c r="CB55" s="447"/>
      <c r="CC55" s="447"/>
      <c r="CD55" s="447"/>
      <c r="CE55" s="447"/>
      <c r="CF55" s="230">
        <v>0</v>
      </c>
    </row>
    <row r="56" spans="1:84" s="1767" customFormat="1" ht="11.25" hidden="1" customHeight="1">
      <c r="A56" s="569"/>
      <c r="B56" s="353"/>
      <c r="C56" s="348"/>
      <c r="D56" s="2622"/>
      <c r="E56" s="585" t="s">
        <v>22</v>
      </c>
      <c r="F56" s="586" t="s">
        <v>22</v>
      </c>
      <c r="G56" s="586" t="s">
        <v>22</v>
      </c>
      <c r="H56" s="587" t="s">
        <v>22</v>
      </c>
      <c r="I56" s="587"/>
      <c r="J56" s="587"/>
      <c r="K56" s="587"/>
      <c r="L56" s="587"/>
      <c r="M56" s="587"/>
      <c r="N56" s="587"/>
      <c r="O56" s="587"/>
      <c r="P56" s="587"/>
      <c r="Q56" s="587"/>
      <c r="R56" s="588"/>
      <c r="S56" s="947"/>
      <c r="T56" s="654"/>
      <c r="U56" s="2505"/>
      <c r="V56" s="2505"/>
      <c r="W56" s="353"/>
      <c r="X56" s="353"/>
      <c r="Y56" s="353"/>
      <c r="Z56" s="353"/>
      <c r="AA56" s="447"/>
      <c r="AB56" s="353"/>
      <c r="AC56" s="642"/>
      <c r="AD56" s="565"/>
      <c r="AE56" s="353"/>
      <c r="AF56" s="353"/>
      <c r="AG56" s="447"/>
      <c r="AH56" s="447"/>
      <c r="AI56" s="447"/>
      <c r="AJ56" s="447"/>
      <c r="AK56" s="447"/>
      <c r="AL56" s="447"/>
      <c r="AM56" s="447"/>
      <c r="AN56" s="447"/>
      <c r="AO56" s="447"/>
      <c r="AP56" s="447"/>
      <c r="AQ56" s="447"/>
      <c r="AR56" s="447"/>
      <c r="AS56" s="447"/>
      <c r="AT56" s="447"/>
      <c r="AU56" s="447"/>
      <c r="AV56" s="447"/>
      <c r="AW56" s="447"/>
      <c r="AX56" s="447"/>
      <c r="AY56" s="447"/>
      <c r="AZ56" s="447"/>
      <c r="BA56" s="447"/>
      <c r="BB56" s="447"/>
      <c r="BC56" s="447"/>
      <c r="BD56" s="447"/>
      <c r="BE56" s="447"/>
      <c r="BF56" s="447"/>
      <c r="BG56" s="447"/>
      <c r="BH56" s="447"/>
      <c r="BI56" s="447"/>
      <c r="BJ56" s="447"/>
      <c r="BK56" s="447"/>
      <c r="BL56" s="447"/>
      <c r="BM56" s="447"/>
      <c r="BN56" s="447"/>
      <c r="BO56" s="447"/>
      <c r="BP56" s="447"/>
      <c r="BQ56" s="447"/>
      <c r="BR56" s="447"/>
      <c r="BS56" s="447"/>
      <c r="BT56" s="447"/>
      <c r="BU56" s="447"/>
      <c r="BV56" s="353"/>
      <c r="BW56" s="353"/>
      <c r="BX56" s="353"/>
      <c r="BY56" s="353"/>
      <c r="BZ56" s="353"/>
      <c r="CA56" s="353"/>
      <c r="CB56" s="353"/>
      <c r="CC56" s="353"/>
      <c r="CD56" s="353"/>
      <c r="CE56" s="353"/>
      <c r="CF56" s="230">
        <v>0</v>
      </c>
    </row>
    <row r="57" spans="1:84" ht="15" hidden="1" customHeight="1">
      <c r="A57" s="559" t="s">
        <v>135</v>
      </c>
      <c r="B57" s="560"/>
      <c r="C57" s="560" t="s">
        <v>22</v>
      </c>
      <c r="D57" s="2610" t="s">
        <v>171</v>
      </c>
      <c r="E57" s="2613" t="s">
        <v>119</v>
      </c>
      <c r="F57" s="2614"/>
      <c r="G57" s="2615"/>
      <c r="H57" s="2616" t="str">
        <f>IF(A57="","",INDEX(DIFFERENTIATION_UNMERGE_VD,MATCH(A57,DIFFERENTIATION_ID_DIFF,0)))</f>
        <v>Производство тепловой энергии. Некомбинированная выработка</v>
      </c>
      <c r="I57" s="2616"/>
      <c r="J57" s="2616"/>
      <c r="K57" s="2616"/>
      <c r="L57" s="2616"/>
      <c r="M57" s="2616"/>
      <c r="N57" s="2616"/>
      <c r="O57" s="2616"/>
      <c r="P57" s="2616"/>
      <c r="Q57" s="2616"/>
      <c r="R57" s="2616"/>
      <c r="S57" s="655"/>
      <c r="T57" s="652"/>
      <c r="U57" s="561"/>
      <c r="V57" s="561"/>
      <c r="W57" s="562"/>
      <c r="X57" s="562"/>
      <c r="Y57" s="562"/>
      <c r="Z57" s="562"/>
      <c r="AA57" s="563"/>
      <c r="AB57" s="564"/>
      <c r="AC57" s="2617"/>
      <c r="AD57" s="565"/>
      <c r="AE57" s="566" t="s">
        <v>22</v>
      </c>
      <c r="AF57" s="566"/>
      <c r="AG57" s="567" t="s">
        <v>643</v>
      </c>
      <c r="AH57" s="568">
        <v>3</v>
      </c>
      <c r="AI57" s="561"/>
      <c r="AJ57" s="561"/>
      <c r="AK57" s="561"/>
      <c r="AL57" s="561"/>
      <c r="AM57" s="561"/>
      <c r="AN57" s="561"/>
      <c r="AO57" s="561"/>
      <c r="AP57" s="561"/>
      <c r="AQ57" s="561"/>
      <c r="AR57" s="561"/>
      <c r="AS57" s="561"/>
      <c r="AT57" s="561"/>
      <c r="AU57" s="561"/>
      <c r="AV57" s="561"/>
      <c r="AW57" s="561"/>
      <c r="AX57" s="561"/>
      <c r="AY57" s="561"/>
      <c r="AZ57" s="561"/>
      <c r="BA57" s="561"/>
      <c r="BB57" s="561"/>
      <c r="BC57" s="561"/>
      <c r="BD57" s="561"/>
      <c r="BE57" s="561"/>
      <c r="BF57" s="561"/>
      <c r="BG57" s="561"/>
      <c r="BH57" s="561"/>
      <c r="BI57" s="561"/>
      <c r="BJ57" s="561"/>
      <c r="BK57" s="561"/>
      <c r="BL57" s="561"/>
      <c r="BM57" s="561"/>
      <c r="BN57" s="561"/>
      <c r="BO57" s="561"/>
      <c r="BP57" s="561"/>
      <c r="BQ57" s="561"/>
      <c r="BR57" s="561"/>
      <c r="BS57" s="561"/>
      <c r="BT57" s="561"/>
      <c r="BU57" s="561"/>
      <c r="BV57" s="562"/>
      <c r="BW57" s="562"/>
      <c r="BX57" s="562"/>
      <c r="BY57" s="562"/>
      <c r="BZ57" s="562"/>
      <c r="CA57" s="562"/>
      <c r="CB57" s="562"/>
      <c r="CC57" s="562"/>
      <c r="CD57" s="562"/>
      <c r="CE57" s="562"/>
      <c r="CF57" s="1767"/>
    </row>
    <row r="58" spans="1:84" ht="15" hidden="1" customHeight="1">
      <c r="A58" s="559"/>
      <c r="B58" s="560"/>
      <c r="C58" s="560"/>
      <c r="D58" s="2611"/>
      <c r="E58" s="2613" t="s">
        <v>581</v>
      </c>
      <c r="F58" s="2614"/>
      <c r="G58" s="2615"/>
      <c r="H58" s="2616" t="str">
        <f>IF(A57="","",INDEX(DIFFERENTIATION_UNMERGE_AREA,MATCH(A57,DIFFERENTIATION_ID_DIFF,0)))</f>
        <v>Территория 1</v>
      </c>
      <c r="I58" s="2616"/>
      <c r="J58" s="2616"/>
      <c r="K58" s="2616"/>
      <c r="L58" s="2616"/>
      <c r="M58" s="2616"/>
      <c r="N58" s="2616"/>
      <c r="O58" s="2616"/>
      <c r="P58" s="2616"/>
      <c r="Q58" s="2616"/>
      <c r="R58" s="2616"/>
      <c r="S58" s="655"/>
      <c r="T58" s="652"/>
      <c r="U58" s="561"/>
      <c r="V58" s="561"/>
      <c r="W58" s="562"/>
      <c r="X58" s="562"/>
      <c r="Y58" s="562"/>
      <c r="Z58" s="562"/>
      <c r="AA58" s="563"/>
      <c r="AB58" s="564"/>
      <c r="AC58" s="2617"/>
      <c r="AD58" s="565"/>
      <c r="AE58" s="566"/>
      <c r="AF58" s="566"/>
      <c r="AG58" s="567"/>
      <c r="AH58" s="568"/>
      <c r="AI58" s="561"/>
      <c r="AJ58" s="561"/>
      <c r="AK58" s="561"/>
      <c r="AL58" s="561"/>
      <c r="AM58" s="561"/>
      <c r="AN58" s="561"/>
      <c r="AO58" s="561"/>
      <c r="AP58" s="561"/>
      <c r="AQ58" s="561"/>
      <c r="AR58" s="561"/>
      <c r="AS58" s="561"/>
      <c r="AT58" s="561"/>
      <c r="AU58" s="561"/>
      <c r="AV58" s="561"/>
      <c r="AW58" s="561"/>
      <c r="AX58" s="561"/>
      <c r="AY58" s="561"/>
      <c r="AZ58" s="561"/>
      <c r="BA58" s="561"/>
      <c r="BB58" s="561"/>
      <c r="BC58" s="561"/>
      <c r="BD58" s="561"/>
      <c r="BE58" s="561"/>
      <c r="BF58" s="561"/>
      <c r="BG58" s="561"/>
      <c r="BH58" s="561"/>
      <c r="BI58" s="561"/>
      <c r="BJ58" s="561"/>
      <c r="BK58" s="561"/>
      <c r="BL58" s="561"/>
      <c r="BM58" s="561"/>
      <c r="BN58" s="561"/>
      <c r="BO58" s="561"/>
      <c r="BP58" s="561"/>
      <c r="BQ58" s="561"/>
      <c r="BR58" s="561"/>
      <c r="BS58" s="561"/>
      <c r="BT58" s="561"/>
      <c r="BU58" s="561"/>
      <c r="BV58" s="562"/>
      <c r="BW58" s="562"/>
      <c r="BX58" s="562"/>
      <c r="BY58" s="562"/>
      <c r="BZ58" s="562"/>
      <c r="CA58" s="562"/>
      <c r="CB58" s="562"/>
      <c r="CC58" s="562"/>
      <c r="CD58" s="562"/>
      <c r="CE58" s="562"/>
      <c r="CF58" s="1767"/>
    </row>
    <row r="59" spans="1:84" ht="15" hidden="1" customHeight="1">
      <c r="A59" s="559"/>
      <c r="B59" s="560"/>
      <c r="C59" s="560"/>
      <c r="D59" s="2611"/>
      <c r="E59" s="2613" t="s">
        <v>582</v>
      </c>
      <c r="F59" s="2614"/>
      <c r="G59" s="2615"/>
      <c r="H59" s="2616" t="str">
        <f>IF(A57="","",INDEX(DIFFERENTIATION_UNMERGE_SYSTEM,MATCH(A57,DIFFERENTIATION_ID_DIFF,0)))</f>
        <v>без дифференциации</v>
      </c>
      <c r="I59" s="2616"/>
      <c r="J59" s="2616"/>
      <c r="K59" s="2616"/>
      <c r="L59" s="2616"/>
      <c r="M59" s="2616"/>
      <c r="N59" s="2616"/>
      <c r="O59" s="2616"/>
      <c r="P59" s="2616"/>
      <c r="Q59" s="2616"/>
      <c r="R59" s="2616"/>
      <c r="S59" s="655"/>
      <c r="T59" s="652"/>
      <c r="U59" s="561"/>
      <c r="V59" s="561"/>
      <c r="W59" s="562"/>
      <c r="X59" s="562"/>
      <c r="Y59" s="562"/>
      <c r="Z59" s="562"/>
      <c r="AA59" s="563"/>
      <c r="AB59" s="564"/>
      <c r="AC59" s="2617"/>
      <c r="AD59" s="565"/>
      <c r="AE59" s="566"/>
      <c r="AF59" s="566"/>
      <c r="AG59" s="567"/>
      <c r="AH59" s="568"/>
      <c r="AI59" s="561"/>
      <c r="AJ59" s="561"/>
      <c r="AK59" s="561"/>
      <c r="AL59" s="561"/>
      <c r="AM59" s="561"/>
      <c r="AN59" s="561"/>
      <c r="AO59" s="561"/>
      <c r="AP59" s="561"/>
      <c r="AQ59" s="561"/>
      <c r="AR59" s="561"/>
      <c r="AS59" s="561"/>
      <c r="AT59" s="561"/>
      <c r="AU59" s="561"/>
      <c r="AV59" s="561"/>
      <c r="AW59" s="561"/>
      <c r="AX59" s="561"/>
      <c r="AY59" s="561"/>
      <c r="AZ59" s="561"/>
      <c r="BA59" s="561"/>
      <c r="BB59" s="561"/>
      <c r="BC59" s="561"/>
      <c r="BD59" s="561"/>
      <c r="BE59" s="561"/>
      <c r="BF59" s="561"/>
      <c r="BG59" s="561"/>
      <c r="BH59" s="561"/>
      <c r="BI59" s="561"/>
      <c r="BJ59" s="561"/>
      <c r="BK59" s="561"/>
      <c r="BL59" s="561"/>
      <c r="BM59" s="561"/>
      <c r="BN59" s="561"/>
      <c r="BO59" s="561"/>
      <c r="BP59" s="561"/>
      <c r="BQ59" s="561"/>
      <c r="BR59" s="561"/>
      <c r="BS59" s="561"/>
      <c r="BT59" s="561"/>
      <c r="BU59" s="561"/>
      <c r="BV59" s="562"/>
      <c r="BW59" s="562"/>
      <c r="BX59" s="562"/>
      <c r="BY59" s="562"/>
      <c r="BZ59" s="562"/>
      <c r="CA59" s="562"/>
      <c r="CB59" s="562"/>
      <c r="CC59" s="562"/>
      <c r="CD59" s="562"/>
      <c r="CE59" s="562"/>
      <c r="CF59" s="1767"/>
    </row>
    <row r="60" spans="1:84" ht="24.75" hidden="1" customHeight="1">
      <c r="A60" s="1726"/>
      <c r="B60" s="1083"/>
      <c r="C60" s="348"/>
      <c r="D60" s="2611"/>
      <c r="E60" s="2618" t="s">
        <v>644</v>
      </c>
      <c r="F60" s="2618"/>
      <c r="G60" s="2618"/>
      <c r="H60" s="2618"/>
      <c r="I60" s="2618"/>
      <c r="J60" s="2618"/>
      <c r="K60" s="2618"/>
      <c r="L60" s="2618"/>
      <c r="M60" s="2618"/>
      <c r="N60" s="2618"/>
      <c r="O60" s="2618"/>
      <c r="P60" s="2618"/>
      <c r="Q60" s="494">
        <f>SUMIF(T61:T62,"i",Q61:Q62)</f>
        <v>0</v>
      </c>
      <c r="R60" s="944"/>
      <c r="S60" s="1718" t="s">
        <v>645</v>
      </c>
      <c r="T60" s="653" t="s">
        <v>646</v>
      </c>
      <c r="U60" s="2505">
        <v>1</v>
      </c>
      <c r="V60" s="2505" t="str">
        <f>INDEX(B_FHD_FLAG_INDEX_1,1,MATCH(A57,B_FHD_FLAG_DIFFERENTIATION,0))</f>
        <v>отсутствует</v>
      </c>
      <c r="W60" s="1083"/>
      <c r="X60" s="1083"/>
      <c r="Y60" s="1083"/>
      <c r="Z60" s="1083"/>
      <c r="AA60" s="1559"/>
      <c r="AB60" s="1083"/>
      <c r="AC60" s="2617"/>
      <c r="AD60" s="565"/>
      <c r="AE60" s="1083"/>
      <c r="AF60" s="1083"/>
      <c r="AG60" s="1559"/>
      <c r="AH60" s="1559"/>
      <c r="AI60" s="1559"/>
      <c r="AJ60" s="1559"/>
      <c r="AK60" s="1559"/>
      <c r="AL60" s="1559"/>
      <c r="AM60" s="1559"/>
      <c r="AN60" s="1559"/>
      <c r="AO60" s="1559"/>
      <c r="AP60" s="1559"/>
      <c r="AQ60" s="1559"/>
      <c r="AR60" s="1559"/>
      <c r="AS60" s="1559"/>
      <c r="AT60" s="1559"/>
      <c r="AU60" s="1559"/>
      <c r="AV60" s="1559"/>
      <c r="AW60" s="1559"/>
      <c r="AX60" s="1559"/>
      <c r="AY60" s="1559"/>
      <c r="AZ60" s="1559"/>
      <c r="BA60" s="1559"/>
      <c r="BB60" s="1559"/>
      <c r="BC60" s="1559"/>
      <c r="BD60" s="1559"/>
      <c r="BE60" s="1559"/>
      <c r="BF60" s="1559"/>
      <c r="BG60" s="1559"/>
      <c r="BH60" s="1559"/>
      <c r="BI60" s="1559"/>
      <c r="BJ60" s="1559"/>
      <c r="BK60" s="1559"/>
      <c r="BL60" s="1559"/>
      <c r="BM60" s="1559"/>
      <c r="BN60" s="1559"/>
      <c r="BO60" s="1559"/>
      <c r="BP60" s="1559"/>
      <c r="BQ60" s="1559"/>
      <c r="BR60" s="1559"/>
      <c r="BS60" s="1559"/>
      <c r="BT60" s="1559"/>
      <c r="BU60" s="1559"/>
      <c r="BV60" s="1083"/>
      <c r="BW60" s="1083"/>
      <c r="BX60" s="1083"/>
      <c r="BY60" s="1083"/>
      <c r="BZ60" s="1083"/>
      <c r="CA60" s="1083"/>
      <c r="CB60" s="1083"/>
      <c r="CC60" s="1083"/>
      <c r="CD60" s="1083"/>
      <c r="CE60" s="1083"/>
      <c r="CF60" s="1767"/>
    </row>
    <row r="61" spans="1:84" ht="11.25" hidden="1" customHeight="1">
      <c r="A61" s="1713"/>
      <c r="B61" s="1559"/>
      <c r="C61" s="1559"/>
      <c r="D61" s="2611"/>
      <c r="E61" s="571"/>
      <c r="F61" s="571">
        <v>0</v>
      </c>
      <c r="G61" s="571"/>
      <c r="H61" s="571"/>
      <c r="I61" s="571"/>
      <c r="J61" s="571"/>
      <c r="K61" s="571"/>
      <c r="L61" s="571"/>
      <c r="M61" s="571"/>
      <c r="N61" s="571"/>
      <c r="O61" s="571"/>
      <c r="P61" s="571"/>
      <c r="Q61" s="571"/>
      <c r="R61" s="571"/>
      <c r="S61" s="572"/>
      <c r="T61" s="654"/>
      <c r="U61" s="2505"/>
      <c r="V61" s="2505"/>
      <c r="W61" s="1559"/>
      <c r="X61" s="1559"/>
      <c r="Y61" s="1559"/>
      <c r="Z61" s="1559"/>
      <c r="AA61" s="1559"/>
      <c r="AB61" s="1083"/>
      <c r="AC61" s="2617"/>
      <c r="AD61" s="565"/>
      <c r="AE61" s="1083"/>
      <c r="AF61" s="1083"/>
      <c r="AG61" s="1559"/>
      <c r="AH61" s="1559"/>
      <c r="AI61" s="1559"/>
      <c r="AJ61" s="1559"/>
      <c r="AK61" s="1559"/>
      <c r="AL61" s="1559"/>
      <c r="AM61" s="1559"/>
      <c r="AN61" s="1559"/>
      <c r="AO61" s="1559"/>
      <c r="AP61" s="1559"/>
      <c r="AQ61" s="1559"/>
      <c r="AR61" s="1559"/>
      <c r="AS61" s="1559"/>
      <c r="AT61" s="1559"/>
      <c r="AU61" s="1559"/>
      <c r="AV61" s="1559"/>
      <c r="AW61" s="1559"/>
      <c r="AX61" s="1559"/>
      <c r="AY61" s="1559"/>
      <c r="AZ61" s="1559"/>
      <c r="BA61" s="1559"/>
      <c r="BB61" s="1559"/>
      <c r="BC61" s="1559"/>
      <c r="BD61" s="1559"/>
      <c r="BE61" s="1559"/>
      <c r="BF61" s="1559"/>
      <c r="BG61" s="1559"/>
      <c r="BH61" s="1559"/>
      <c r="BI61" s="1559"/>
      <c r="BJ61" s="1559"/>
      <c r="BK61" s="1559"/>
      <c r="BL61" s="1559"/>
      <c r="BM61" s="1559"/>
      <c r="BN61" s="1559"/>
      <c r="BO61" s="1559"/>
      <c r="BP61" s="1559"/>
      <c r="BQ61" s="1559"/>
      <c r="BR61" s="1559"/>
      <c r="BS61" s="1559"/>
      <c r="BT61" s="1559"/>
      <c r="BU61" s="1559"/>
      <c r="BV61" s="1559"/>
      <c r="BW61" s="1559"/>
      <c r="BX61" s="1559"/>
      <c r="BY61" s="1559"/>
      <c r="BZ61" s="1559"/>
      <c r="CA61" s="1559"/>
      <c r="CB61" s="1559"/>
      <c r="CC61" s="1559"/>
      <c r="CD61" s="1559"/>
      <c r="CE61" s="1559"/>
      <c r="CF61" s="1767"/>
    </row>
    <row r="62" spans="1:84" ht="11.25" hidden="1" customHeight="1">
      <c r="A62" s="1726"/>
      <c r="B62" s="1083"/>
      <c r="C62" s="348"/>
      <c r="D62" s="2611"/>
      <c r="E62" s="585" t="s">
        <v>22</v>
      </c>
      <c r="F62" s="1091" t="s">
        <v>22</v>
      </c>
      <c r="G62" s="1091" t="s">
        <v>681</v>
      </c>
      <c r="H62" s="587" t="s">
        <v>22</v>
      </c>
      <c r="I62" s="587"/>
      <c r="J62" s="587"/>
      <c r="K62" s="587"/>
      <c r="L62" s="587"/>
      <c r="M62" s="587"/>
      <c r="N62" s="587"/>
      <c r="O62" s="587"/>
      <c r="P62" s="587"/>
      <c r="Q62" s="587"/>
      <c r="R62" s="588"/>
      <c r="S62" s="589"/>
      <c r="T62" s="654"/>
      <c r="U62" s="2505"/>
      <c r="V62" s="2505"/>
      <c r="W62" s="1083"/>
      <c r="X62" s="1083"/>
      <c r="Y62" s="1083"/>
      <c r="Z62" s="1083"/>
      <c r="AA62" s="1559"/>
      <c r="AB62" s="1083"/>
      <c r="AC62" s="2617"/>
      <c r="AD62" s="565"/>
      <c r="AE62" s="1083"/>
      <c r="AF62" s="1083"/>
      <c r="AG62" s="1559"/>
      <c r="AH62" s="1559"/>
      <c r="AI62" s="1559"/>
      <c r="AJ62" s="1559"/>
      <c r="AK62" s="1559"/>
      <c r="AL62" s="1559"/>
      <c r="AM62" s="1559"/>
      <c r="AN62" s="1559"/>
      <c r="AO62" s="1559"/>
      <c r="AP62" s="1559"/>
      <c r="AQ62" s="1559"/>
      <c r="AR62" s="1559"/>
      <c r="AS62" s="1559"/>
      <c r="AT62" s="1559"/>
      <c r="AU62" s="1559"/>
      <c r="AV62" s="1559"/>
      <c r="AW62" s="1559"/>
      <c r="AX62" s="1559"/>
      <c r="AY62" s="1559"/>
      <c r="AZ62" s="1559"/>
      <c r="BA62" s="1559"/>
      <c r="BB62" s="1559"/>
      <c r="BC62" s="1559"/>
      <c r="BD62" s="1559"/>
      <c r="BE62" s="1559"/>
      <c r="BF62" s="1559"/>
      <c r="BG62" s="1559"/>
      <c r="BH62" s="1559"/>
      <c r="BI62" s="1559"/>
      <c r="BJ62" s="1559"/>
      <c r="BK62" s="1559"/>
      <c r="BL62" s="1559"/>
      <c r="BM62" s="1559"/>
      <c r="BN62" s="1559"/>
      <c r="BO62" s="1559"/>
      <c r="BP62" s="1559"/>
      <c r="BQ62" s="1559"/>
      <c r="BR62" s="1559"/>
      <c r="BS62" s="1559"/>
      <c r="BT62" s="1559"/>
      <c r="BU62" s="1559"/>
      <c r="BV62" s="1083"/>
      <c r="BW62" s="1083"/>
      <c r="BX62" s="1083"/>
      <c r="BY62" s="1083"/>
      <c r="BZ62" s="1083"/>
      <c r="CA62" s="1083"/>
      <c r="CB62" s="1083"/>
      <c r="CC62" s="1083"/>
      <c r="CD62" s="1083"/>
      <c r="CE62" s="1083"/>
      <c r="CF62" s="1767"/>
    </row>
    <row r="63" spans="1:84" ht="5.25" hidden="1" customHeight="1">
      <c r="A63" s="1713"/>
      <c r="B63" s="1559"/>
      <c r="C63" s="1559"/>
      <c r="D63" s="2611"/>
      <c r="E63" s="966"/>
      <c r="F63" s="966"/>
      <c r="G63" s="966"/>
      <c r="H63" s="966"/>
      <c r="I63" s="966"/>
      <c r="J63" s="966"/>
      <c r="K63" s="966"/>
      <c r="L63" s="966"/>
      <c r="M63" s="966"/>
      <c r="N63" s="966"/>
      <c r="O63" s="966"/>
      <c r="P63" s="966"/>
      <c r="Q63" s="967"/>
      <c r="R63" s="968"/>
      <c r="S63" s="969"/>
      <c r="T63" s="653" t="s">
        <v>646</v>
      </c>
      <c r="U63" s="2505">
        <v>1</v>
      </c>
      <c r="V63" s="2505" t="s">
        <v>600</v>
      </c>
      <c r="W63" s="1559"/>
      <c r="X63" s="1559"/>
      <c r="Y63" s="1559"/>
      <c r="Z63" s="1559"/>
      <c r="AA63" s="1559"/>
      <c r="AB63" s="1559"/>
      <c r="AC63" s="964"/>
      <c r="AD63" s="965"/>
      <c r="AE63" s="1559"/>
      <c r="AF63" s="1559"/>
      <c r="AG63" s="1559"/>
      <c r="AH63" s="1559"/>
      <c r="AI63" s="1559"/>
      <c r="AJ63" s="1559"/>
      <c r="AK63" s="1559"/>
      <c r="AL63" s="1559"/>
      <c r="AM63" s="1559"/>
      <c r="AN63" s="1559"/>
      <c r="AO63" s="1559"/>
      <c r="AP63" s="1559"/>
      <c r="AQ63" s="1559"/>
      <c r="AR63" s="1559"/>
      <c r="AS63" s="1559"/>
      <c r="AT63" s="1559"/>
      <c r="AU63" s="1559"/>
      <c r="AV63" s="1559"/>
      <c r="AW63" s="1559"/>
      <c r="AX63" s="1559"/>
      <c r="AY63" s="1559"/>
      <c r="AZ63" s="1559"/>
      <c r="BA63" s="1559"/>
      <c r="BB63" s="1559"/>
      <c r="BC63" s="1559"/>
      <c r="BD63" s="1559"/>
      <c r="BE63" s="1559"/>
      <c r="BF63" s="1559"/>
      <c r="BG63" s="1559"/>
      <c r="BH63" s="1559"/>
      <c r="BI63" s="1559"/>
      <c r="BJ63" s="1559"/>
      <c r="BK63" s="1559"/>
      <c r="BL63" s="1559"/>
      <c r="BM63" s="1559"/>
      <c r="BN63" s="1559"/>
      <c r="BO63" s="1559"/>
      <c r="BP63" s="1559"/>
      <c r="BQ63" s="1559"/>
      <c r="BR63" s="1559"/>
      <c r="BS63" s="1559"/>
      <c r="BT63" s="1559"/>
      <c r="BU63" s="1559"/>
      <c r="BV63" s="1559"/>
      <c r="BW63" s="1559"/>
      <c r="BX63" s="1559"/>
      <c r="BY63" s="1559"/>
      <c r="BZ63" s="1559"/>
      <c r="CA63" s="1559"/>
      <c r="CB63" s="1559"/>
      <c r="CC63" s="1559"/>
      <c r="CD63" s="1559"/>
      <c r="CE63" s="1559"/>
      <c r="CF63" s="1239"/>
    </row>
    <row r="64" spans="1:84" ht="5.25" hidden="1" customHeight="1">
      <c r="A64" s="1713"/>
      <c r="B64" s="1559"/>
      <c r="C64" s="1559"/>
      <c r="D64" s="2611"/>
      <c r="E64" s="571"/>
      <c r="F64" s="571"/>
      <c r="G64" s="571"/>
      <c r="H64" s="571"/>
      <c r="I64" s="571"/>
      <c r="J64" s="571"/>
      <c r="K64" s="571"/>
      <c r="L64" s="571"/>
      <c r="M64" s="571"/>
      <c r="N64" s="571"/>
      <c r="O64" s="571"/>
      <c r="P64" s="571"/>
      <c r="Q64" s="571"/>
      <c r="R64" s="571"/>
      <c r="S64" s="572"/>
      <c r="T64" s="654"/>
      <c r="U64" s="2505"/>
      <c r="V64" s="2505"/>
      <c r="W64" s="1559"/>
      <c r="X64" s="1559"/>
      <c r="Y64" s="1559"/>
      <c r="Z64" s="1559"/>
      <c r="AA64" s="1559"/>
      <c r="AB64" s="1559"/>
      <c r="AC64" s="964"/>
      <c r="AD64" s="965"/>
      <c r="AE64" s="1559"/>
      <c r="AF64" s="1559"/>
      <c r="AG64" s="1559"/>
      <c r="AH64" s="1559"/>
      <c r="AI64" s="1559"/>
      <c r="AJ64" s="1559"/>
      <c r="AK64" s="1559"/>
      <c r="AL64" s="1559"/>
      <c r="AM64" s="1559"/>
      <c r="AN64" s="1559"/>
      <c r="AO64" s="1559"/>
      <c r="AP64" s="1559"/>
      <c r="AQ64" s="1559"/>
      <c r="AR64" s="1559"/>
      <c r="AS64" s="1559"/>
      <c r="AT64" s="1559"/>
      <c r="AU64" s="1559"/>
      <c r="AV64" s="1559"/>
      <c r="AW64" s="1559"/>
      <c r="AX64" s="1559"/>
      <c r="AY64" s="1559"/>
      <c r="AZ64" s="1559"/>
      <c r="BA64" s="1559"/>
      <c r="BB64" s="1559"/>
      <c r="BC64" s="1559"/>
      <c r="BD64" s="1559"/>
      <c r="BE64" s="1559"/>
      <c r="BF64" s="1559"/>
      <c r="BG64" s="1559"/>
      <c r="BH64" s="1559"/>
      <c r="BI64" s="1559"/>
      <c r="BJ64" s="1559"/>
      <c r="BK64" s="1559"/>
      <c r="BL64" s="1559"/>
      <c r="BM64" s="1559"/>
      <c r="BN64" s="1559"/>
      <c r="BO64" s="1559"/>
      <c r="BP64" s="1559"/>
      <c r="BQ64" s="1559"/>
      <c r="BR64" s="1559"/>
      <c r="BS64" s="1559"/>
      <c r="BT64" s="1559"/>
      <c r="BU64" s="1559"/>
      <c r="BV64" s="1559"/>
      <c r="BW64" s="1559"/>
      <c r="BX64" s="1559"/>
      <c r="BY64" s="1559"/>
      <c r="BZ64" s="1559"/>
      <c r="CA64" s="1559"/>
      <c r="CB64" s="1559"/>
      <c r="CC64" s="1559"/>
      <c r="CD64" s="1559"/>
      <c r="CE64" s="1559"/>
      <c r="CF64" s="1239"/>
    </row>
    <row r="65" spans="1:84" ht="5.25" hidden="1" customHeight="1">
      <c r="A65" s="1713"/>
      <c r="B65" s="1559"/>
      <c r="C65" s="1559"/>
      <c r="D65" s="2612"/>
      <c r="E65" s="970"/>
      <c r="F65" s="971"/>
      <c r="G65" s="971"/>
      <c r="H65" s="972"/>
      <c r="I65" s="972"/>
      <c r="J65" s="972"/>
      <c r="K65" s="972"/>
      <c r="L65" s="972"/>
      <c r="M65" s="972"/>
      <c r="N65" s="972"/>
      <c r="O65" s="972"/>
      <c r="P65" s="972"/>
      <c r="Q65" s="972"/>
      <c r="R65" s="874"/>
      <c r="S65" s="973"/>
      <c r="T65" s="654"/>
      <c r="U65" s="2505"/>
      <c r="V65" s="2505"/>
      <c r="W65" s="1559"/>
      <c r="X65" s="1559"/>
      <c r="Y65" s="1559"/>
      <c r="Z65" s="1559"/>
      <c r="AA65" s="1559"/>
      <c r="AB65" s="1559"/>
      <c r="AC65" s="964"/>
      <c r="AD65" s="965"/>
      <c r="AE65" s="1559"/>
      <c r="AF65" s="1559"/>
      <c r="AG65" s="1559"/>
      <c r="AH65" s="1559"/>
      <c r="AI65" s="1559"/>
      <c r="AJ65" s="1559"/>
      <c r="AK65" s="1559"/>
      <c r="AL65" s="1559"/>
      <c r="AM65" s="1559"/>
      <c r="AN65" s="1559"/>
      <c r="AO65" s="1559"/>
      <c r="AP65" s="1559"/>
      <c r="AQ65" s="1559"/>
      <c r="AR65" s="1559"/>
      <c r="AS65" s="1559"/>
      <c r="AT65" s="1559"/>
      <c r="AU65" s="1559"/>
      <c r="AV65" s="1559"/>
      <c r="AW65" s="1559"/>
      <c r="AX65" s="1559"/>
      <c r="AY65" s="1559"/>
      <c r="AZ65" s="1559"/>
      <c r="BA65" s="1559"/>
      <c r="BB65" s="1559"/>
      <c r="BC65" s="1559"/>
      <c r="BD65" s="1559"/>
      <c r="BE65" s="1559"/>
      <c r="BF65" s="1559"/>
      <c r="BG65" s="1559"/>
      <c r="BH65" s="1559"/>
      <c r="BI65" s="1559"/>
      <c r="BJ65" s="1559"/>
      <c r="BK65" s="1559"/>
      <c r="BL65" s="1559"/>
      <c r="BM65" s="1559"/>
      <c r="BN65" s="1559"/>
      <c r="BO65" s="1559"/>
      <c r="BP65" s="1559"/>
      <c r="BQ65" s="1559"/>
      <c r="BR65" s="1559"/>
      <c r="BS65" s="1559"/>
      <c r="BT65" s="1559"/>
      <c r="BU65" s="1559"/>
      <c r="BV65" s="1559"/>
      <c r="BW65" s="1559"/>
      <c r="BX65" s="1559"/>
      <c r="BY65" s="1559"/>
      <c r="BZ65" s="1559"/>
      <c r="CA65" s="1559"/>
      <c r="CB65" s="1559"/>
      <c r="CC65" s="1559"/>
      <c r="CD65" s="1559"/>
      <c r="CE65" s="1559"/>
      <c r="CF65" s="1239"/>
    </row>
    <row r="66" spans="1:84" ht="15" customHeight="1">
      <c r="A66" s="559" t="s">
        <v>137</v>
      </c>
      <c r="B66" s="560"/>
      <c r="C66" s="560" t="s">
        <v>22</v>
      </c>
      <c r="D66" s="2610" t="s">
        <v>684</v>
      </c>
      <c r="E66" s="2613" t="s">
        <v>119</v>
      </c>
      <c r="F66" s="2614"/>
      <c r="G66" s="2615"/>
      <c r="H66" s="2616" t="str">
        <f>IF(A66="","",INDEX(DIFFERENTIATION_UNMERGE_VD,MATCH(A66,DIFFERENTIATION_ID_DIFF,0)))</f>
        <v>Передача. Тепловая энергия; Сбыт. Тепловая энергия</v>
      </c>
      <c r="I66" s="2616"/>
      <c r="J66" s="2616"/>
      <c r="K66" s="2616"/>
      <c r="L66" s="2616"/>
      <c r="M66" s="2616"/>
      <c r="N66" s="2616"/>
      <c r="O66" s="2616"/>
      <c r="P66" s="2616"/>
      <c r="Q66" s="2616"/>
      <c r="R66" s="2616"/>
      <c r="S66" s="655"/>
      <c r="T66" s="652"/>
      <c r="U66" s="561"/>
      <c r="V66" s="561"/>
      <c r="W66" s="562"/>
      <c r="X66" s="562"/>
      <c r="Y66" s="562"/>
      <c r="Z66" s="562"/>
      <c r="AA66" s="563"/>
      <c r="AB66" s="564"/>
      <c r="AC66" s="2617"/>
      <c r="AD66" s="565"/>
      <c r="AE66" s="566" t="s">
        <v>22</v>
      </c>
      <c r="AF66" s="566"/>
      <c r="AG66" s="567" t="s">
        <v>643</v>
      </c>
      <c r="AH66" s="568">
        <v>3</v>
      </c>
      <c r="AI66" s="561"/>
      <c r="AJ66" s="561"/>
      <c r="AK66" s="561"/>
      <c r="AL66" s="561"/>
      <c r="AM66" s="561"/>
      <c r="AN66" s="561"/>
      <c r="AO66" s="561"/>
      <c r="AP66" s="561"/>
      <c r="AQ66" s="561"/>
      <c r="AR66" s="561"/>
      <c r="AS66" s="561"/>
      <c r="AT66" s="561"/>
      <c r="AU66" s="561"/>
      <c r="AV66" s="561"/>
      <c r="AW66" s="561"/>
      <c r="AX66" s="561"/>
      <c r="AY66" s="561"/>
      <c r="AZ66" s="561"/>
      <c r="BA66" s="561"/>
      <c r="BB66" s="561"/>
      <c r="BC66" s="561"/>
      <c r="BD66" s="561"/>
      <c r="BE66" s="561"/>
      <c r="BF66" s="561"/>
      <c r="BG66" s="561"/>
      <c r="BH66" s="561"/>
      <c r="BI66" s="561"/>
      <c r="BJ66" s="561"/>
      <c r="BK66" s="561"/>
      <c r="BL66" s="561"/>
      <c r="BM66" s="561"/>
      <c r="BN66" s="561"/>
      <c r="BO66" s="561"/>
      <c r="BP66" s="561"/>
      <c r="BQ66" s="561"/>
      <c r="BR66" s="561"/>
      <c r="BS66" s="561"/>
      <c r="BT66" s="561"/>
      <c r="BU66" s="561"/>
      <c r="BV66" s="562"/>
      <c r="BW66" s="562"/>
      <c r="BX66" s="562"/>
      <c r="BY66" s="562"/>
      <c r="BZ66" s="562"/>
      <c r="CA66" s="562"/>
      <c r="CB66" s="562"/>
      <c r="CC66" s="562"/>
      <c r="CD66" s="562"/>
      <c r="CE66" s="562"/>
      <c r="CF66" s="1767"/>
    </row>
    <row r="67" spans="1:84" ht="15" customHeight="1">
      <c r="A67" s="559"/>
      <c r="B67" s="560"/>
      <c r="C67" s="560"/>
      <c r="D67" s="2611"/>
      <c r="E67" s="2613" t="s">
        <v>581</v>
      </c>
      <c r="F67" s="2614"/>
      <c r="G67" s="2615"/>
      <c r="H67" s="2616" t="str">
        <f>IF(A66="","",INDEX(DIFFERENTIATION_UNMERGE_AREA,MATCH(A66,DIFFERENTIATION_ID_DIFF,0)))</f>
        <v>Территория 1</v>
      </c>
      <c r="I67" s="2616"/>
      <c r="J67" s="2616"/>
      <c r="K67" s="2616"/>
      <c r="L67" s="2616"/>
      <c r="M67" s="2616"/>
      <c r="N67" s="2616"/>
      <c r="O67" s="2616"/>
      <c r="P67" s="2616"/>
      <c r="Q67" s="2616"/>
      <c r="R67" s="2616"/>
      <c r="S67" s="655"/>
      <c r="T67" s="652"/>
      <c r="U67" s="561"/>
      <c r="V67" s="561"/>
      <c r="W67" s="562"/>
      <c r="X67" s="562"/>
      <c r="Y67" s="562"/>
      <c r="Z67" s="562"/>
      <c r="AA67" s="563"/>
      <c r="AB67" s="564"/>
      <c r="AC67" s="2617"/>
      <c r="AD67" s="565"/>
      <c r="AE67" s="566"/>
      <c r="AF67" s="566"/>
      <c r="AG67" s="567"/>
      <c r="AH67" s="568"/>
      <c r="AI67" s="561"/>
      <c r="AJ67" s="561"/>
      <c r="AK67" s="561"/>
      <c r="AL67" s="561"/>
      <c r="AM67" s="561"/>
      <c r="AN67" s="561"/>
      <c r="AO67" s="561"/>
      <c r="AP67" s="561"/>
      <c r="AQ67" s="561"/>
      <c r="AR67" s="561"/>
      <c r="AS67" s="561"/>
      <c r="AT67" s="561"/>
      <c r="AU67" s="561"/>
      <c r="AV67" s="561"/>
      <c r="AW67" s="561"/>
      <c r="AX67" s="561"/>
      <c r="AY67" s="561"/>
      <c r="AZ67" s="561"/>
      <c r="BA67" s="561"/>
      <c r="BB67" s="561"/>
      <c r="BC67" s="561"/>
      <c r="BD67" s="561"/>
      <c r="BE67" s="561"/>
      <c r="BF67" s="561"/>
      <c r="BG67" s="561"/>
      <c r="BH67" s="561"/>
      <c r="BI67" s="561"/>
      <c r="BJ67" s="561"/>
      <c r="BK67" s="561"/>
      <c r="BL67" s="561"/>
      <c r="BM67" s="561"/>
      <c r="BN67" s="561"/>
      <c r="BO67" s="561"/>
      <c r="BP67" s="561"/>
      <c r="BQ67" s="561"/>
      <c r="BR67" s="561"/>
      <c r="BS67" s="561"/>
      <c r="BT67" s="561"/>
      <c r="BU67" s="561"/>
      <c r="BV67" s="562"/>
      <c r="BW67" s="562"/>
      <c r="BX67" s="562"/>
      <c r="BY67" s="562"/>
      <c r="BZ67" s="562"/>
      <c r="CA67" s="562"/>
      <c r="CB67" s="562"/>
      <c r="CC67" s="562"/>
      <c r="CD67" s="562"/>
      <c r="CE67" s="562"/>
      <c r="CF67" s="1767"/>
    </row>
    <row r="68" spans="1:84" ht="15" customHeight="1">
      <c r="A68" s="559"/>
      <c r="B68" s="560"/>
      <c r="C68" s="560"/>
      <c r="D68" s="2611"/>
      <c r="E68" s="2613" t="s">
        <v>582</v>
      </c>
      <c r="F68" s="2614"/>
      <c r="G68" s="2615"/>
      <c r="H68" s="2616" t="str">
        <f>IF(A66="","",INDEX(DIFFERENTIATION_UNMERGE_SYSTEM,MATCH(A66,DIFFERENTIATION_ID_DIFF,0)))</f>
        <v>без дифференциации</v>
      </c>
      <c r="I68" s="2616"/>
      <c r="J68" s="2616"/>
      <c r="K68" s="2616"/>
      <c r="L68" s="2616"/>
      <c r="M68" s="2616"/>
      <c r="N68" s="2616"/>
      <c r="O68" s="2616"/>
      <c r="P68" s="2616"/>
      <c r="Q68" s="2616"/>
      <c r="R68" s="2616"/>
      <c r="S68" s="655"/>
      <c r="T68" s="652"/>
      <c r="U68" s="561"/>
      <c r="V68" s="561"/>
      <c r="W68" s="562"/>
      <c r="X68" s="562"/>
      <c r="Y68" s="562"/>
      <c r="Z68" s="562"/>
      <c r="AA68" s="563"/>
      <c r="AB68" s="564"/>
      <c r="AC68" s="2617"/>
      <c r="AD68" s="565"/>
      <c r="AE68" s="566"/>
      <c r="AF68" s="566"/>
      <c r="AG68" s="567"/>
      <c r="AH68" s="568"/>
      <c r="AI68" s="561"/>
      <c r="AJ68" s="561"/>
      <c r="AK68" s="561"/>
      <c r="AL68" s="561"/>
      <c r="AM68" s="561"/>
      <c r="AN68" s="561"/>
      <c r="AO68" s="561"/>
      <c r="AP68" s="561"/>
      <c r="AQ68" s="561"/>
      <c r="AR68" s="561"/>
      <c r="AS68" s="561"/>
      <c r="AT68" s="561"/>
      <c r="AU68" s="561"/>
      <c r="AV68" s="561"/>
      <c r="AW68" s="561"/>
      <c r="AX68" s="561"/>
      <c r="AY68" s="561"/>
      <c r="AZ68" s="561"/>
      <c r="BA68" s="561"/>
      <c r="BB68" s="561"/>
      <c r="BC68" s="561"/>
      <c r="BD68" s="561"/>
      <c r="BE68" s="561"/>
      <c r="BF68" s="561"/>
      <c r="BG68" s="561"/>
      <c r="BH68" s="561"/>
      <c r="BI68" s="561"/>
      <c r="BJ68" s="561"/>
      <c r="BK68" s="561"/>
      <c r="BL68" s="561"/>
      <c r="BM68" s="561"/>
      <c r="BN68" s="561"/>
      <c r="BO68" s="561"/>
      <c r="BP68" s="561"/>
      <c r="BQ68" s="561"/>
      <c r="BR68" s="561"/>
      <c r="BS68" s="561"/>
      <c r="BT68" s="561"/>
      <c r="BU68" s="561"/>
      <c r="BV68" s="562"/>
      <c r="BW68" s="562"/>
      <c r="BX68" s="562"/>
      <c r="BY68" s="562"/>
      <c r="BZ68" s="562"/>
      <c r="CA68" s="562"/>
      <c r="CB68" s="562"/>
      <c r="CC68" s="562"/>
      <c r="CD68" s="562"/>
      <c r="CE68" s="562"/>
      <c r="CF68" s="1767"/>
    </row>
    <row r="69" spans="1:84" ht="24.75" customHeight="1">
      <c r="A69" s="1726"/>
      <c r="B69" s="1083"/>
      <c r="C69" s="348"/>
      <c r="D69" s="2611"/>
      <c r="E69" s="2618" t="s">
        <v>644</v>
      </c>
      <c r="F69" s="2618"/>
      <c r="G69" s="2618"/>
      <c r="H69" s="2618"/>
      <c r="I69" s="2618"/>
      <c r="J69" s="2618"/>
      <c r="K69" s="2618"/>
      <c r="L69" s="2618"/>
      <c r="M69" s="2618"/>
      <c r="N69" s="2618"/>
      <c r="O69" s="2618"/>
      <c r="P69" s="2618"/>
      <c r="Q69" s="494">
        <f>SUMIF(T70:T99,"i",Q70:Q99)</f>
        <v>140719.32999999999</v>
      </c>
      <c r="R69" s="944"/>
      <c r="S69" s="1718" t="s">
        <v>645</v>
      </c>
      <c r="T69" s="653" t="s">
        <v>646</v>
      </c>
      <c r="U69" s="2505">
        <v>1</v>
      </c>
      <c r="V69" s="2505" t="str">
        <f>INDEX(B_FHD_FLAG_INDEX_1,1,MATCH(A66,B_FHD_FLAG_DIFFERENTIATION,0))</f>
        <v>есть</v>
      </c>
      <c r="W69" s="1083"/>
      <c r="X69" s="1083"/>
      <c r="Y69" s="1083"/>
      <c r="Z69" s="1083"/>
      <c r="AA69" s="1559"/>
      <c r="AB69" s="1083"/>
      <c r="AC69" s="2617"/>
      <c r="AD69" s="565"/>
      <c r="AE69" s="1083"/>
      <c r="AF69" s="1083"/>
      <c r="AG69" s="1559"/>
      <c r="AH69" s="1559"/>
      <c r="AI69" s="1559"/>
      <c r="AJ69" s="1559"/>
      <c r="AK69" s="1559"/>
      <c r="AL69" s="1559"/>
      <c r="AM69" s="1559"/>
      <c r="AN69" s="1559"/>
      <c r="AO69" s="1559"/>
      <c r="AP69" s="1559"/>
      <c r="AQ69" s="1559"/>
      <c r="AR69" s="1559"/>
      <c r="AS69" s="1559"/>
      <c r="AT69" s="1559"/>
      <c r="AU69" s="1559"/>
      <c r="AV69" s="1559"/>
      <c r="AW69" s="1559"/>
      <c r="AX69" s="1559"/>
      <c r="AY69" s="1559"/>
      <c r="AZ69" s="1559"/>
      <c r="BA69" s="1559"/>
      <c r="BB69" s="1559"/>
      <c r="BC69" s="1559"/>
      <c r="BD69" s="1559"/>
      <c r="BE69" s="1559"/>
      <c r="BF69" s="1559"/>
      <c r="BG69" s="1559"/>
      <c r="BH69" s="1559"/>
      <c r="BI69" s="1559"/>
      <c r="BJ69" s="1559"/>
      <c r="BK69" s="1559"/>
      <c r="BL69" s="1559"/>
      <c r="BM69" s="1559"/>
      <c r="BN69" s="1559"/>
      <c r="BO69" s="1559"/>
      <c r="BP69" s="1559"/>
      <c r="BQ69" s="1559"/>
      <c r="BR69" s="1559"/>
      <c r="BS69" s="1559"/>
      <c r="BT69" s="1559"/>
      <c r="BU69" s="1559"/>
      <c r="BV69" s="1083"/>
      <c r="BW69" s="1083"/>
      <c r="BX69" s="1083"/>
      <c r="BY69" s="1083"/>
      <c r="BZ69" s="1083"/>
      <c r="CA69" s="1083"/>
      <c r="CB69" s="1083"/>
      <c r="CC69" s="1083"/>
      <c r="CD69" s="1083"/>
      <c r="CE69" s="1083"/>
      <c r="CF69" s="1767"/>
    </row>
    <row r="70" spans="1:84" ht="11.25" hidden="1" customHeight="1">
      <c r="A70" s="1713"/>
      <c r="B70" s="1559"/>
      <c r="C70" s="1559"/>
      <c r="D70" s="2611"/>
      <c r="E70" s="571"/>
      <c r="F70" s="571">
        <v>0</v>
      </c>
      <c r="G70" s="571"/>
      <c r="H70" s="571"/>
      <c r="I70" s="571"/>
      <c r="J70" s="571"/>
      <c r="K70" s="571"/>
      <c r="L70" s="571"/>
      <c r="M70" s="571"/>
      <c r="N70" s="571"/>
      <c r="O70" s="571"/>
      <c r="P70" s="571"/>
      <c r="Q70" s="571"/>
      <c r="R70" s="571"/>
      <c r="S70" s="572"/>
      <c r="T70" s="654"/>
      <c r="U70" s="2505"/>
      <c r="V70" s="2505"/>
      <c r="W70" s="1559"/>
      <c r="X70" s="1559"/>
      <c r="Y70" s="1559"/>
      <c r="Z70" s="1559"/>
      <c r="AA70" s="1559"/>
      <c r="AB70" s="1083"/>
      <c r="AC70" s="2617"/>
      <c r="AD70" s="565"/>
      <c r="AE70" s="1083"/>
      <c r="AF70" s="1083"/>
      <c r="AG70" s="1559"/>
      <c r="AH70" s="1559"/>
      <c r="AI70" s="1559"/>
      <c r="AJ70" s="1559"/>
      <c r="AK70" s="1559"/>
      <c r="AL70" s="1559"/>
      <c r="AM70" s="1559"/>
      <c r="AN70" s="1559"/>
      <c r="AO70" s="1559"/>
      <c r="AP70" s="1559"/>
      <c r="AQ70" s="1559"/>
      <c r="AR70" s="1559"/>
      <c r="AS70" s="1559"/>
      <c r="AT70" s="1559"/>
      <c r="AU70" s="1559"/>
      <c r="AV70" s="1559"/>
      <c r="AW70" s="1559"/>
      <c r="AX70" s="1559"/>
      <c r="AY70" s="1559"/>
      <c r="AZ70" s="1559"/>
      <c r="BA70" s="1559"/>
      <c r="BB70" s="1559"/>
      <c r="BC70" s="1559"/>
      <c r="BD70" s="1559"/>
      <c r="BE70" s="1559"/>
      <c r="BF70" s="1559"/>
      <c r="BG70" s="1559"/>
      <c r="BH70" s="1559"/>
      <c r="BI70" s="1559"/>
      <c r="BJ70" s="1559"/>
      <c r="BK70" s="1559"/>
      <c r="BL70" s="1559"/>
      <c r="BM70" s="1559"/>
      <c r="BN70" s="1559"/>
      <c r="BO70" s="1559"/>
      <c r="BP70" s="1559"/>
      <c r="BQ70" s="1559"/>
      <c r="BR70" s="1559"/>
      <c r="BS70" s="1559"/>
      <c r="BT70" s="1559"/>
      <c r="BU70" s="1559"/>
      <c r="BV70" s="1559"/>
      <c r="BW70" s="1559"/>
      <c r="BX70" s="1559"/>
      <c r="BY70" s="1559"/>
      <c r="BZ70" s="1559"/>
      <c r="CA70" s="1559"/>
      <c r="CB70" s="1559"/>
      <c r="CC70" s="1559"/>
      <c r="CD70" s="1559"/>
      <c r="CE70" s="1559"/>
      <c r="CF70" s="1767"/>
    </row>
    <row r="71" spans="1:84" ht="45" customHeight="1">
      <c r="A71" s="1726"/>
      <c r="B71" s="1083"/>
      <c r="C71" s="348"/>
      <c r="D71" s="2609"/>
      <c r="E71" s="2599" t="s">
        <v>104</v>
      </c>
      <c r="F71" s="2365" t="s">
        <v>100</v>
      </c>
      <c r="G71" s="2602" t="s">
        <v>685</v>
      </c>
      <c r="H71" s="226"/>
      <c r="I71" s="573" t="s">
        <v>100</v>
      </c>
      <c r="J71" s="1727" t="s">
        <v>648</v>
      </c>
      <c r="K71" s="574" t="s">
        <v>563</v>
      </c>
      <c r="L71" s="2479" t="s">
        <v>563</v>
      </c>
      <c r="M71" s="2415"/>
      <c r="N71" s="574" t="s">
        <v>563</v>
      </c>
      <c r="O71" s="574" t="s">
        <v>563</v>
      </c>
      <c r="P71" s="574" t="s">
        <v>563</v>
      </c>
      <c r="Q71" s="575">
        <f>SUM(Q72:Q74)</f>
        <v>982.16</v>
      </c>
      <c r="R71" s="575">
        <f>IF('Показатели ФХД'!K89=0,0,($Q$71/'Показатели ФХД'!K89)*100)</f>
        <v>0.47444709213299835</v>
      </c>
      <c r="S71" s="2439"/>
      <c r="T71" s="653" t="s">
        <v>646</v>
      </c>
      <c r="U71" s="2609"/>
      <c r="V71" s="2609"/>
      <c r="W71" s="1767"/>
      <c r="X71" s="1767"/>
      <c r="Y71" s="1767"/>
      <c r="Z71" s="1767"/>
      <c r="AA71" s="1767"/>
      <c r="AB71" s="1767"/>
      <c r="AC71" s="2609"/>
      <c r="AD71" s="1767"/>
      <c r="AE71" s="1767"/>
      <c r="AF71" s="1767"/>
      <c r="AG71" s="1767"/>
      <c r="AH71" s="1767"/>
      <c r="AI71" s="1767"/>
      <c r="AJ71" s="1767"/>
      <c r="AK71" s="1767"/>
      <c r="AL71" s="1767"/>
      <c r="AM71" s="1767"/>
      <c r="AN71" s="1767"/>
      <c r="AO71" s="1767"/>
      <c r="AP71" s="1767"/>
      <c r="AQ71" s="1767"/>
      <c r="AR71" s="1767"/>
      <c r="AS71" s="1767"/>
      <c r="AT71" s="1767"/>
      <c r="AU71" s="1767"/>
      <c r="AV71" s="1767"/>
      <c r="AW71" s="1767"/>
      <c r="AX71" s="1767"/>
      <c r="AY71" s="1767"/>
      <c r="AZ71" s="1767"/>
      <c r="BA71" s="1767"/>
      <c r="BB71" s="1767"/>
      <c r="BC71" s="1767"/>
      <c r="BD71" s="1767"/>
      <c r="BE71" s="1767"/>
      <c r="BF71" s="1767"/>
      <c r="BG71" s="1767"/>
      <c r="BH71" s="1767"/>
      <c r="BI71" s="1767"/>
      <c r="BJ71" s="1767"/>
      <c r="BK71" s="1767"/>
      <c r="BL71" s="1767"/>
      <c r="BM71" s="1767"/>
      <c r="BN71" s="1767"/>
      <c r="BO71" s="1767"/>
      <c r="BP71" s="1767"/>
      <c r="BQ71" s="1767"/>
      <c r="BR71" s="1767"/>
      <c r="BS71" s="1767"/>
      <c r="BT71" s="1767"/>
      <c r="BU71" s="1767"/>
      <c r="BV71" s="1767"/>
      <c r="BW71" s="1767"/>
      <c r="BX71" s="1767"/>
      <c r="BY71" s="1767"/>
      <c r="BZ71" s="1767"/>
      <c r="CA71" s="1767"/>
      <c r="CB71" s="1767"/>
      <c r="CC71" s="1767"/>
      <c r="CD71" s="1767"/>
      <c r="CE71" s="1767"/>
      <c r="CF71" s="1767"/>
    </row>
    <row r="72" spans="1:84" ht="11.25" customHeight="1">
      <c r="A72" s="1726"/>
      <c r="B72" s="1083"/>
      <c r="C72" s="348"/>
      <c r="D72" s="2609"/>
      <c r="E72" s="2600"/>
      <c r="F72" s="2365">
        <v>0</v>
      </c>
      <c r="G72" s="2602"/>
      <c r="H72" s="2371"/>
      <c r="I72" s="2604" t="s">
        <v>649</v>
      </c>
      <c r="J72" s="2605" t="s">
        <v>591</v>
      </c>
      <c r="K72" s="2606" t="s">
        <v>686</v>
      </c>
      <c r="L72" s="576"/>
      <c r="M72" s="577" t="s">
        <v>100</v>
      </c>
      <c r="N72" s="1715" t="s">
        <v>687</v>
      </c>
      <c r="O72" s="578">
        <f>Q72</f>
        <v>982.16</v>
      </c>
      <c r="P72" s="579" t="s">
        <v>569</v>
      </c>
      <c r="Q72" s="578">
        <v>982.16</v>
      </c>
      <c r="R72" s="580">
        <v>0</v>
      </c>
      <c r="S72" s="2439"/>
      <c r="T72" s="653"/>
      <c r="U72" s="2609"/>
      <c r="V72" s="2609"/>
      <c r="W72" s="1767"/>
      <c r="X72" s="1767"/>
      <c r="Y72" s="1767"/>
      <c r="Z72" s="1767"/>
      <c r="AA72" s="1767"/>
      <c r="AB72" s="1767"/>
      <c r="AC72" s="2609"/>
      <c r="AD72" s="1767"/>
      <c r="AE72" s="1767"/>
      <c r="AF72" s="1767"/>
      <c r="AG72" s="1767"/>
      <c r="AH72" s="1767"/>
      <c r="AI72" s="1767"/>
      <c r="AJ72" s="1767"/>
      <c r="AK72" s="1767"/>
      <c r="AL72" s="1767"/>
      <c r="AM72" s="1767"/>
      <c r="AN72" s="1767"/>
      <c r="AO72" s="1767"/>
      <c r="AP72" s="1767"/>
      <c r="AQ72" s="1767"/>
      <c r="AR72" s="1767"/>
      <c r="AS72" s="1767"/>
      <c r="AT72" s="1767"/>
      <c r="AU72" s="1767"/>
      <c r="AV72" s="1767"/>
      <c r="AW72" s="1767"/>
      <c r="AX72" s="1767"/>
      <c r="AY72" s="1767"/>
      <c r="AZ72" s="1767"/>
      <c r="BA72" s="1767"/>
      <c r="BB72" s="1767"/>
      <c r="BC72" s="1767"/>
      <c r="BD72" s="1767"/>
      <c r="BE72" s="1767"/>
      <c r="BF72" s="1767"/>
      <c r="BG72" s="1767"/>
      <c r="BH72" s="1767"/>
      <c r="BI72" s="1767"/>
      <c r="BJ72" s="1767"/>
      <c r="BK72" s="1767"/>
      <c r="BL72" s="1767"/>
      <c r="BM72" s="1767"/>
      <c r="BN72" s="1767"/>
      <c r="BO72" s="1767"/>
      <c r="BP72" s="1767"/>
      <c r="BQ72" s="1767"/>
      <c r="BR72" s="1767"/>
      <c r="BS72" s="1767"/>
      <c r="BT72" s="1767"/>
      <c r="BU72" s="1767"/>
      <c r="BV72" s="1767"/>
      <c r="BW72" s="1767"/>
      <c r="BX72" s="1767"/>
      <c r="BY72" s="1767"/>
      <c r="BZ72" s="1767"/>
      <c r="CA72" s="1767"/>
      <c r="CB72" s="1767"/>
      <c r="CC72" s="1767"/>
      <c r="CD72" s="1767"/>
      <c r="CE72" s="1767"/>
      <c r="CF72" s="1767"/>
    </row>
    <row r="73" spans="1:84" ht="11.25" customHeight="1">
      <c r="A73" s="1726"/>
      <c r="B73" s="1083"/>
      <c r="C73" s="348"/>
      <c r="D73" s="2609"/>
      <c r="E73" s="2600"/>
      <c r="F73" s="2365">
        <v>0</v>
      </c>
      <c r="G73" s="2602"/>
      <c r="H73" s="2371"/>
      <c r="I73" s="2604"/>
      <c r="J73" s="2605"/>
      <c r="K73" s="2607"/>
      <c r="L73" s="581"/>
      <c r="M73" s="582"/>
      <c r="N73" s="583" t="s">
        <v>652</v>
      </c>
      <c r="O73" s="583"/>
      <c r="P73" s="583"/>
      <c r="Q73" s="583"/>
      <c r="R73" s="584"/>
      <c r="S73" s="2439"/>
      <c r="T73" s="653"/>
      <c r="U73" s="2609"/>
      <c r="V73" s="2609"/>
      <c r="W73" s="1767"/>
      <c r="X73" s="1767"/>
      <c r="Y73" s="1767"/>
      <c r="Z73" s="1767"/>
      <c r="AA73" s="1767"/>
      <c r="AB73" s="1767"/>
      <c r="AC73" s="2609"/>
      <c r="AD73" s="1767"/>
      <c r="AE73" s="1767"/>
      <c r="AF73" s="1767"/>
      <c r="AG73" s="1767"/>
      <c r="AH73" s="1767"/>
      <c r="AI73" s="1767"/>
      <c r="AJ73" s="1767"/>
      <c r="AK73" s="1767"/>
      <c r="AL73" s="1767"/>
      <c r="AM73" s="1767"/>
      <c r="AN73" s="1767"/>
      <c r="AO73" s="1767"/>
      <c r="AP73" s="1767"/>
      <c r="AQ73" s="1767"/>
      <c r="AR73" s="1767"/>
      <c r="AS73" s="1767"/>
      <c r="AT73" s="1767"/>
      <c r="AU73" s="1767"/>
      <c r="AV73" s="1767"/>
      <c r="AW73" s="1767"/>
      <c r="AX73" s="1767"/>
      <c r="AY73" s="1767"/>
      <c r="AZ73" s="1767"/>
      <c r="BA73" s="1767"/>
      <c r="BB73" s="1767"/>
      <c r="BC73" s="1767"/>
      <c r="BD73" s="1767"/>
      <c r="BE73" s="1767"/>
      <c r="BF73" s="1767"/>
      <c r="BG73" s="1767"/>
      <c r="BH73" s="1767"/>
      <c r="BI73" s="1767"/>
      <c r="BJ73" s="1767"/>
      <c r="BK73" s="1767"/>
      <c r="BL73" s="1767"/>
      <c r="BM73" s="1767"/>
      <c r="BN73" s="1767"/>
      <c r="BO73" s="1767"/>
      <c r="BP73" s="1767"/>
      <c r="BQ73" s="1767"/>
      <c r="BR73" s="1767"/>
      <c r="BS73" s="1767"/>
      <c r="BT73" s="1767"/>
      <c r="BU73" s="1767"/>
      <c r="BV73" s="1767"/>
      <c r="BW73" s="1767"/>
      <c r="BX73" s="1767"/>
      <c r="BY73" s="1767"/>
      <c r="BZ73" s="1767"/>
      <c r="CA73" s="1767"/>
      <c r="CB73" s="1767"/>
      <c r="CC73" s="1767"/>
      <c r="CD73" s="1767"/>
      <c r="CE73" s="1767"/>
      <c r="CF73" s="1767"/>
    </row>
    <row r="74" spans="1:84" ht="11.25" customHeight="1">
      <c r="A74" s="1726"/>
      <c r="B74" s="1083"/>
      <c r="C74" s="348"/>
      <c r="D74" s="2609"/>
      <c r="E74" s="2601"/>
      <c r="F74" s="2365">
        <v>0</v>
      </c>
      <c r="G74" s="2603"/>
      <c r="H74" s="581" t="s">
        <v>22</v>
      </c>
      <c r="I74" s="582"/>
      <c r="J74" s="583" t="s">
        <v>656</v>
      </c>
      <c r="K74" s="583"/>
      <c r="L74" s="583"/>
      <c r="M74" s="583"/>
      <c r="N74" s="583"/>
      <c r="O74" s="583"/>
      <c r="P74" s="583"/>
      <c r="Q74" s="583"/>
      <c r="R74" s="584"/>
      <c r="S74" s="2439"/>
      <c r="T74" s="653"/>
      <c r="U74" s="2609"/>
      <c r="V74" s="2609"/>
      <c r="W74" s="1767"/>
      <c r="X74" s="1767"/>
      <c r="Y74" s="1767"/>
      <c r="Z74" s="1767"/>
      <c r="AA74" s="1767"/>
      <c r="AB74" s="1767"/>
      <c r="AC74" s="2609"/>
      <c r="AD74" s="1767"/>
      <c r="AE74" s="1767"/>
      <c r="AF74" s="1767"/>
      <c r="AG74" s="1767"/>
      <c r="AH74" s="1767"/>
      <c r="AI74" s="1767"/>
      <c r="AJ74" s="1767"/>
      <c r="AK74" s="1767"/>
      <c r="AL74" s="1767"/>
      <c r="AM74" s="1767"/>
      <c r="AN74" s="1767"/>
      <c r="AO74" s="1767"/>
      <c r="AP74" s="1767"/>
      <c r="AQ74" s="1767"/>
      <c r="AR74" s="1767"/>
      <c r="AS74" s="1767"/>
      <c r="AT74" s="1767"/>
      <c r="AU74" s="1767"/>
      <c r="AV74" s="1767"/>
      <c r="AW74" s="1767"/>
      <c r="AX74" s="1767"/>
      <c r="AY74" s="1767"/>
      <c r="AZ74" s="1767"/>
      <c r="BA74" s="1767"/>
      <c r="BB74" s="1767"/>
      <c r="BC74" s="1767"/>
      <c r="BD74" s="1767"/>
      <c r="BE74" s="1767"/>
      <c r="BF74" s="1767"/>
      <c r="BG74" s="1767"/>
      <c r="BH74" s="1767"/>
      <c r="BI74" s="1767"/>
      <c r="BJ74" s="1767"/>
      <c r="BK74" s="1767"/>
      <c r="BL74" s="1767"/>
      <c r="BM74" s="1767"/>
      <c r="BN74" s="1767"/>
      <c r="BO74" s="1767"/>
      <c r="BP74" s="1767"/>
      <c r="BQ74" s="1767"/>
      <c r="BR74" s="1767"/>
      <c r="BS74" s="1767"/>
      <c r="BT74" s="1767"/>
      <c r="BU74" s="1767"/>
      <c r="BV74" s="1767"/>
      <c r="BW74" s="1767"/>
      <c r="BX74" s="1767"/>
      <c r="BY74" s="1767"/>
      <c r="BZ74" s="1767"/>
      <c r="CA74" s="1767"/>
      <c r="CB74" s="1767"/>
      <c r="CC74" s="1767"/>
      <c r="CD74" s="1767"/>
      <c r="CE74" s="1767"/>
      <c r="CF74" s="1767"/>
    </row>
    <row r="75" spans="1:84" ht="45" customHeight="1">
      <c r="A75" s="1726"/>
      <c r="B75" s="1083"/>
      <c r="C75" s="348"/>
      <c r="D75" s="2609"/>
      <c r="E75" s="2599" t="s">
        <v>104</v>
      </c>
      <c r="F75" s="2365" t="s">
        <v>103</v>
      </c>
      <c r="G75" s="2602" t="s">
        <v>688</v>
      </c>
      <c r="H75" s="226"/>
      <c r="I75" s="573" t="s">
        <v>100</v>
      </c>
      <c r="J75" s="1727" t="s">
        <v>648</v>
      </c>
      <c r="K75" s="574" t="s">
        <v>563</v>
      </c>
      <c r="L75" s="2479" t="s">
        <v>563</v>
      </c>
      <c r="M75" s="2415"/>
      <c r="N75" s="574" t="s">
        <v>563</v>
      </c>
      <c r="O75" s="574" t="s">
        <v>563</v>
      </c>
      <c r="P75" s="574" t="s">
        <v>563</v>
      </c>
      <c r="Q75" s="575">
        <f>SUM(Q76:Q80)</f>
        <v>30289.11</v>
      </c>
      <c r="R75" s="575">
        <f>IF('Показатели ФХД'!K89=0,0,($Q$75/'Показатели ФХД'!K89)*100)</f>
        <v>14.631608050415942</v>
      </c>
      <c r="S75" s="2439"/>
      <c r="T75" s="653" t="s">
        <v>646</v>
      </c>
      <c r="U75" s="2609"/>
      <c r="V75" s="2609"/>
      <c r="W75" s="1767"/>
      <c r="X75" s="1767"/>
      <c r="Y75" s="1767"/>
      <c r="Z75" s="1767"/>
      <c r="AA75" s="1767"/>
      <c r="AB75" s="1767"/>
      <c r="AC75" s="2609"/>
      <c r="AD75" s="1767"/>
      <c r="AE75" s="1767"/>
      <c r="AF75" s="1767"/>
      <c r="AG75" s="1767"/>
      <c r="AH75" s="1767"/>
      <c r="AI75" s="1767"/>
      <c r="AJ75" s="1767"/>
      <c r="AK75" s="1767"/>
      <c r="AL75" s="1767"/>
      <c r="AM75" s="1767"/>
      <c r="AN75" s="1767"/>
      <c r="AO75" s="1767"/>
      <c r="AP75" s="1767"/>
      <c r="AQ75" s="1767"/>
      <c r="AR75" s="1767"/>
      <c r="AS75" s="1767"/>
      <c r="AT75" s="1767"/>
      <c r="AU75" s="1767"/>
      <c r="AV75" s="1767"/>
      <c r="AW75" s="1767"/>
      <c r="AX75" s="1767"/>
      <c r="AY75" s="1767"/>
      <c r="AZ75" s="1767"/>
      <c r="BA75" s="1767"/>
      <c r="BB75" s="1767"/>
      <c r="BC75" s="1767"/>
      <c r="BD75" s="1767"/>
      <c r="BE75" s="1767"/>
      <c r="BF75" s="1767"/>
      <c r="BG75" s="1767"/>
      <c r="BH75" s="1767"/>
      <c r="BI75" s="1767"/>
      <c r="BJ75" s="1767"/>
      <c r="BK75" s="1767"/>
      <c r="BL75" s="1767"/>
      <c r="BM75" s="1767"/>
      <c r="BN75" s="1767"/>
      <c r="BO75" s="1767"/>
      <c r="BP75" s="1767"/>
      <c r="BQ75" s="1767"/>
      <c r="BR75" s="1767"/>
      <c r="BS75" s="1767"/>
      <c r="BT75" s="1767"/>
      <c r="BU75" s="1767"/>
      <c r="BV75" s="1767"/>
      <c r="BW75" s="1767"/>
      <c r="BX75" s="1767"/>
      <c r="BY75" s="1767"/>
      <c r="BZ75" s="1767"/>
      <c r="CA75" s="1767"/>
      <c r="CB75" s="1767"/>
      <c r="CC75" s="1767"/>
      <c r="CD75" s="1767"/>
      <c r="CE75" s="1767"/>
      <c r="CF75" s="1767"/>
    </row>
    <row r="76" spans="1:84" ht="11.25" customHeight="1">
      <c r="A76" s="1726"/>
      <c r="B76" s="1083"/>
      <c r="C76" s="348"/>
      <c r="D76" s="2609"/>
      <c r="E76" s="2600"/>
      <c r="F76" s="2365" t="s">
        <v>100</v>
      </c>
      <c r="G76" s="2602"/>
      <c r="H76" s="2371"/>
      <c r="I76" s="2604" t="s">
        <v>649</v>
      </c>
      <c r="J76" s="2605" t="s">
        <v>591</v>
      </c>
      <c r="K76" s="2606" t="s">
        <v>689</v>
      </c>
      <c r="L76" s="576"/>
      <c r="M76" s="577" t="s">
        <v>100</v>
      </c>
      <c r="N76" s="1715" t="s">
        <v>690</v>
      </c>
      <c r="O76" s="578">
        <f>Q76</f>
        <v>24076.12</v>
      </c>
      <c r="P76" s="579" t="s">
        <v>569</v>
      </c>
      <c r="Q76" s="578">
        <v>24076.12</v>
      </c>
      <c r="R76" s="580">
        <v>0</v>
      </c>
      <c r="S76" s="2439"/>
      <c r="T76" s="653"/>
      <c r="U76" s="2609"/>
      <c r="V76" s="2609"/>
      <c r="W76" s="1767"/>
      <c r="X76" s="1767"/>
      <c r="Y76" s="1767"/>
      <c r="Z76" s="1767"/>
      <c r="AA76" s="1767"/>
      <c r="AB76" s="1767"/>
      <c r="AC76" s="2609"/>
      <c r="AD76" s="1767"/>
      <c r="AE76" s="1767"/>
      <c r="AF76" s="1767"/>
      <c r="AG76" s="1767"/>
      <c r="AH76" s="1767"/>
      <c r="AI76" s="1767"/>
      <c r="AJ76" s="1767"/>
      <c r="AK76" s="1767"/>
      <c r="AL76" s="1767"/>
      <c r="AM76" s="1767"/>
      <c r="AN76" s="1767"/>
      <c r="AO76" s="1767"/>
      <c r="AP76" s="1767"/>
      <c r="AQ76" s="1767"/>
      <c r="AR76" s="1767"/>
      <c r="AS76" s="1767"/>
      <c r="AT76" s="1767"/>
      <c r="AU76" s="1767"/>
      <c r="AV76" s="1767"/>
      <c r="AW76" s="1767"/>
      <c r="AX76" s="1767"/>
      <c r="AY76" s="1767"/>
      <c r="AZ76" s="1767"/>
      <c r="BA76" s="1767"/>
      <c r="BB76" s="1767"/>
      <c r="BC76" s="1767"/>
      <c r="BD76" s="1767"/>
      <c r="BE76" s="1767"/>
      <c r="BF76" s="1767"/>
      <c r="BG76" s="1767"/>
      <c r="BH76" s="1767"/>
      <c r="BI76" s="1767"/>
      <c r="BJ76" s="1767"/>
      <c r="BK76" s="1767"/>
      <c r="BL76" s="1767"/>
      <c r="BM76" s="1767"/>
      <c r="BN76" s="1767"/>
      <c r="BO76" s="1767"/>
      <c r="BP76" s="1767"/>
      <c r="BQ76" s="1767"/>
      <c r="BR76" s="1767"/>
      <c r="BS76" s="1767"/>
      <c r="BT76" s="1767"/>
      <c r="BU76" s="1767"/>
      <c r="BV76" s="1767"/>
      <c r="BW76" s="1767"/>
      <c r="BX76" s="1767"/>
      <c r="BY76" s="1767"/>
      <c r="BZ76" s="1767"/>
      <c r="CA76" s="1767"/>
      <c r="CB76" s="1767"/>
      <c r="CC76" s="1767"/>
      <c r="CD76" s="1767"/>
      <c r="CE76" s="1767"/>
      <c r="CF76" s="1767"/>
    </row>
    <row r="77" spans="1:84" ht="11.25" customHeight="1">
      <c r="A77" s="1726"/>
      <c r="B77" s="1083"/>
      <c r="C77" s="348"/>
      <c r="D77" s="2609"/>
      <c r="E77" s="2600"/>
      <c r="F77" s="2365" t="s">
        <v>100</v>
      </c>
      <c r="G77" s="2602"/>
      <c r="H77" s="2371"/>
      <c r="I77" s="2604"/>
      <c r="J77" s="2605"/>
      <c r="K77" s="2607"/>
      <c r="L77" s="581"/>
      <c r="M77" s="582"/>
      <c r="N77" s="583" t="s">
        <v>652</v>
      </c>
      <c r="O77" s="583"/>
      <c r="P77" s="583"/>
      <c r="Q77" s="583"/>
      <c r="R77" s="584"/>
      <c r="S77" s="2439"/>
      <c r="T77" s="653"/>
      <c r="U77" s="2609"/>
      <c r="V77" s="2609"/>
      <c r="W77" s="1767"/>
      <c r="X77" s="1767"/>
      <c r="Y77" s="1767"/>
      <c r="Z77" s="1767"/>
      <c r="AA77" s="1767"/>
      <c r="AB77" s="1767"/>
      <c r="AC77" s="2609"/>
      <c r="AD77" s="1767"/>
      <c r="AE77" s="1767"/>
      <c r="AF77" s="1767"/>
      <c r="AG77" s="1767"/>
      <c r="AH77" s="1767"/>
      <c r="AI77" s="1767"/>
      <c r="AJ77" s="1767"/>
      <c r="AK77" s="1767"/>
      <c r="AL77" s="1767"/>
      <c r="AM77" s="1767"/>
      <c r="AN77" s="1767"/>
      <c r="AO77" s="1767"/>
      <c r="AP77" s="1767"/>
      <c r="AQ77" s="1767"/>
      <c r="AR77" s="1767"/>
      <c r="AS77" s="1767"/>
      <c r="AT77" s="1767"/>
      <c r="AU77" s="1767"/>
      <c r="AV77" s="1767"/>
      <c r="AW77" s="1767"/>
      <c r="AX77" s="1767"/>
      <c r="AY77" s="1767"/>
      <c r="AZ77" s="1767"/>
      <c r="BA77" s="1767"/>
      <c r="BB77" s="1767"/>
      <c r="BC77" s="1767"/>
      <c r="BD77" s="1767"/>
      <c r="BE77" s="1767"/>
      <c r="BF77" s="1767"/>
      <c r="BG77" s="1767"/>
      <c r="BH77" s="1767"/>
      <c r="BI77" s="1767"/>
      <c r="BJ77" s="1767"/>
      <c r="BK77" s="1767"/>
      <c r="BL77" s="1767"/>
      <c r="BM77" s="1767"/>
      <c r="BN77" s="1767"/>
      <c r="BO77" s="1767"/>
      <c r="BP77" s="1767"/>
      <c r="BQ77" s="1767"/>
      <c r="BR77" s="1767"/>
      <c r="BS77" s="1767"/>
      <c r="BT77" s="1767"/>
      <c r="BU77" s="1767"/>
      <c r="BV77" s="1767"/>
      <c r="BW77" s="1767"/>
      <c r="BX77" s="1767"/>
      <c r="BY77" s="1767"/>
      <c r="BZ77" s="1767"/>
      <c r="CA77" s="1767"/>
      <c r="CB77" s="1767"/>
      <c r="CC77" s="1767"/>
      <c r="CD77" s="1767"/>
      <c r="CE77" s="1767"/>
      <c r="CF77" s="1767"/>
    </row>
    <row r="78" spans="1:84" ht="11.25" customHeight="1">
      <c r="A78" s="1726"/>
      <c r="B78" s="1083"/>
      <c r="C78" s="348"/>
      <c r="D78" s="2609"/>
      <c r="E78" s="2608"/>
      <c r="F78" s="2608"/>
      <c r="G78" s="2608"/>
      <c r="H78" s="2371" t="s">
        <v>104</v>
      </c>
      <c r="I78" s="2604" t="s">
        <v>653</v>
      </c>
      <c r="J78" s="2605" t="s">
        <v>591</v>
      </c>
      <c r="K78" s="2606" t="s">
        <v>691</v>
      </c>
      <c r="L78" s="576"/>
      <c r="M78" s="577" t="s">
        <v>100</v>
      </c>
      <c r="N78" s="1715" t="s">
        <v>690</v>
      </c>
      <c r="O78" s="578">
        <f>Q78</f>
        <v>6212.99</v>
      </c>
      <c r="P78" s="579" t="s">
        <v>569</v>
      </c>
      <c r="Q78" s="578">
        <v>6212.99</v>
      </c>
      <c r="R78" s="580">
        <v>0</v>
      </c>
      <c r="S78" s="2609"/>
      <c r="T78" s="653"/>
      <c r="U78" s="2609"/>
      <c r="V78" s="2609"/>
      <c r="W78" s="1767"/>
      <c r="X78" s="1767"/>
      <c r="Y78" s="1767"/>
      <c r="Z78" s="1767"/>
      <c r="AA78" s="1767"/>
      <c r="AB78" s="1767"/>
      <c r="AC78" s="2609"/>
      <c r="AD78" s="1767"/>
      <c r="AE78" s="1767"/>
      <c r="AF78" s="1767"/>
      <c r="AG78" s="1767"/>
      <c r="AH78" s="1767"/>
      <c r="AI78" s="1767"/>
      <c r="AJ78" s="1767"/>
      <c r="AK78" s="1767"/>
      <c r="AL78" s="1767"/>
      <c r="AM78" s="1767"/>
      <c r="AN78" s="1767"/>
      <c r="AO78" s="1767"/>
      <c r="AP78" s="1767"/>
      <c r="AQ78" s="1767"/>
      <c r="AR78" s="1767"/>
      <c r="AS78" s="1767"/>
      <c r="AT78" s="1767"/>
      <c r="AU78" s="1767"/>
      <c r="AV78" s="1767"/>
      <c r="AW78" s="1767"/>
      <c r="AX78" s="1767"/>
      <c r="AY78" s="1767"/>
      <c r="AZ78" s="1767"/>
      <c r="BA78" s="1767"/>
      <c r="BB78" s="1767"/>
      <c r="BC78" s="1767"/>
      <c r="BD78" s="1767"/>
      <c r="BE78" s="1767"/>
      <c r="BF78" s="1767"/>
      <c r="BG78" s="1767"/>
      <c r="BH78" s="1767"/>
      <c r="BI78" s="1767"/>
      <c r="BJ78" s="1767"/>
      <c r="BK78" s="1767"/>
      <c r="BL78" s="1767"/>
      <c r="BM78" s="1767"/>
      <c r="BN78" s="1767"/>
      <c r="BO78" s="1767"/>
      <c r="BP78" s="1767"/>
      <c r="BQ78" s="1767"/>
      <c r="BR78" s="1767"/>
      <c r="BS78" s="1767"/>
      <c r="BT78" s="1767"/>
      <c r="BU78" s="1767"/>
      <c r="BV78" s="1767"/>
      <c r="BW78" s="1767"/>
      <c r="BX78" s="1767"/>
      <c r="BY78" s="1767"/>
      <c r="BZ78" s="1767"/>
      <c r="CA78" s="1767"/>
      <c r="CB78" s="1767"/>
      <c r="CC78" s="1767"/>
      <c r="CD78" s="1767"/>
      <c r="CE78" s="1767"/>
      <c r="CF78" s="1767"/>
    </row>
    <row r="79" spans="1:84" ht="11.25" customHeight="1">
      <c r="A79" s="1726"/>
      <c r="B79" s="1083"/>
      <c r="C79" s="348"/>
      <c r="D79" s="2609"/>
      <c r="E79" s="2608"/>
      <c r="F79" s="2608"/>
      <c r="G79" s="2608"/>
      <c r="H79" s="2371"/>
      <c r="I79" s="2604" t="s">
        <v>649</v>
      </c>
      <c r="J79" s="2605"/>
      <c r="K79" s="2607"/>
      <c r="L79" s="581"/>
      <c r="M79" s="582"/>
      <c r="N79" s="583" t="s">
        <v>652</v>
      </c>
      <c r="O79" s="583"/>
      <c r="P79" s="583"/>
      <c r="Q79" s="583"/>
      <c r="R79" s="584"/>
      <c r="S79" s="2609"/>
      <c r="T79" s="653"/>
      <c r="U79" s="2609"/>
      <c r="V79" s="2609"/>
      <c r="W79" s="1767"/>
      <c r="X79" s="1767"/>
      <c r="Y79" s="1767"/>
      <c r="Z79" s="1767"/>
      <c r="AA79" s="1767"/>
      <c r="AB79" s="1767"/>
      <c r="AC79" s="2609"/>
      <c r="AD79" s="1767"/>
      <c r="AE79" s="1767"/>
      <c r="AF79" s="1767"/>
      <c r="AG79" s="1767"/>
      <c r="AH79" s="1767"/>
      <c r="AI79" s="1767"/>
      <c r="AJ79" s="1767"/>
      <c r="AK79" s="1767"/>
      <c r="AL79" s="1767"/>
      <c r="AM79" s="1767"/>
      <c r="AN79" s="1767"/>
      <c r="AO79" s="1767"/>
      <c r="AP79" s="1767"/>
      <c r="AQ79" s="1767"/>
      <c r="AR79" s="1767"/>
      <c r="AS79" s="1767"/>
      <c r="AT79" s="1767"/>
      <c r="AU79" s="1767"/>
      <c r="AV79" s="1767"/>
      <c r="AW79" s="1767"/>
      <c r="AX79" s="1767"/>
      <c r="AY79" s="1767"/>
      <c r="AZ79" s="1767"/>
      <c r="BA79" s="1767"/>
      <c r="BB79" s="1767"/>
      <c r="BC79" s="1767"/>
      <c r="BD79" s="1767"/>
      <c r="BE79" s="1767"/>
      <c r="BF79" s="1767"/>
      <c r="BG79" s="1767"/>
      <c r="BH79" s="1767"/>
      <c r="BI79" s="1767"/>
      <c r="BJ79" s="1767"/>
      <c r="BK79" s="1767"/>
      <c r="BL79" s="1767"/>
      <c r="BM79" s="1767"/>
      <c r="BN79" s="1767"/>
      <c r="BO79" s="1767"/>
      <c r="BP79" s="1767"/>
      <c r="BQ79" s="1767"/>
      <c r="BR79" s="1767"/>
      <c r="BS79" s="1767"/>
      <c r="BT79" s="1767"/>
      <c r="BU79" s="1767"/>
      <c r="BV79" s="1767"/>
      <c r="BW79" s="1767"/>
      <c r="BX79" s="1767"/>
      <c r="BY79" s="1767"/>
      <c r="BZ79" s="1767"/>
      <c r="CA79" s="1767"/>
      <c r="CB79" s="1767"/>
      <c r="CC79" s="1767"/>
      <c r="CD79" s="1767"/>
      <c r="CE79" s="1767"/>
      <c r="CF79" s="1767"/>
    </row>
    <row r="80" spans="1:84" ht="11.25" customHeight="1">
      <c r="A80" s="1726"/>
      <c r="B80" s="1083"/>
      <c r="C80" s="348"/>
      <c r="D80" s="2609"/>
      <c r="E80" s="2601"/>
      <c r="F80" s="2365" t="s">
        <v>100</v>
      </c>
      <c r="G80" s="2603"/>
      <c r="H80" s="581" t="s">
        <v>22</v>
      </c>
      <c r="I80" s="582"/>
      <c r="J80" s="583" t="s">
        <v>656</v>
      </c>
      <c r="K80" s="583"/>
      <c r="L80" s="583"/>
      <c r="M80" s="583"/>
      <c r="N80" s="583"/>
      <c r="O80" s="583"/>
      <c r="P80" s="583"/>
      <c r="Q80" s="583"/>
      <c r="R80" s="584"/>
      <c r="S80" s="2439"/>
      <c r="T80" s="653"/>
      <c r="U80" s="2609"/>
      <c r="V80" s="2609"/>
      <c r="W80" s="1767"/>
      <c r="X80" s="1767"/>
      <c r="Y80" s="1767"/>
      <c r="Z80" s="1767"/>
      <c r="AA80" s="1767"/>
      <c r="AB80" s="1767"/>
      <c r="AC80" s="2609"/>
      <c r="AD80" s="1767"/>
      <c r="AE80" s="1767"/>
      <c r="AF80" s="1767"/>
      <c r="AG80" s="1767"/>
      <c r="AH80" s="1767"/>
      <c r="AI80" s="1767"/>
      <c r="AJ80" s="1767"/>
      <c r="AK80" s="1767"/>
      <c r="AL80" s="1767"/>
      <c r="AM80" s="1767"/>
      <c r="AN80" s="1767"/>
      <c r="AO80" s="1767"/>
      <c r="AP80" s="1767"/>
      <c r="AQ80" s="1767"/>
      <c r="AR80" s="1767"/>
      <c r="AS80" s="1767"/>
      <c r="AT80" s="1767"/>
      <c r="AU80" s="1767"/>
      <c r="AV80" s="1767"/>
      <c r="AW80" s="1767"/>
      <c r="AX80" s="1767"/>
      <c r="AY80" s="1767"/>
      <c r="AZ80" s="1767"/>
      <c r="BA80" s="1767"/>
      <c r="BB80" s="1767"/>
      <c r="BC80" s="1767"/>
      <c r="BD80" s="1767"/>
      <c r="BE80" s="1767"/>
      <c r="BF80" s="1767"/>
      <c r="BG80" s="1767"/>
      <c r="BH80" s="1767"/>
      <c r="BI80" s="1767"/>
      <c r="BJ80" s="1767"/>
      <c r="BK80" s="1767"/>
      <c r="BL80" s="1767"/>
      <c r="BM80" s="1767"/>
      <c r="BN80" s="1767"/>
      <c r="BO80" s="1767"/>
      <c r="BP80" s="1767"/>
      <c r="BQ80" s="1767"/>
      <c r="BR80" s="1767"/>
      <c r="BS80" s="1767"/>
      <c r="BT80" s="1767"/>
      <c r="BU80" s="1767"/>
      <c r="BV80" s="1767"/>
      <c r="BW80" s="1767"/>
      <c r="BX80" s="1767"/>
      <c r="BY80" s="1767"/>
      <c r="BZ80" s="1767"/>
      <c r="CA80" s="1767"/>
      <c r="CB80" s="1767"/>
      <c r="CC80" s="1767"/>
      <c r="CD80" s="1767"/>
      <c r="CE80" s="1767"/>
      <c r="CF80" s="1767"/>
    </row>
    <row r="81" spans="1:84" ht="45" customHeight="1">
      <c r="A81" s="1726"/>
      <c r="B81" s="1083"/>
      <c r="C81" s="348"/>
      <c r="D81" s="2609"/>
      <c r="E81" s="2599" t="s">
        <v>104</v>
      </c>
      <c r="F81" s="2365" t="s">
        <v>91</v>
      </c>
      <c r="G81" s="2602" t="s">
        <v>692</v>
      </c>
      <c r="H81" s="226"/>
      <c r="I81" s="573" t="s">
        <v>100</v>
      </c>
      <c r="J81" s="1727" t="s">
        <v>648</v>
      </c>
      <c r="K81" s="574" t="s">
        <v>563</v>
      </c>
      <c r="L81" s="2479" t="s">
        <v>563</v>
      </c>
      <c r="M81" s="2415"/>
      <c r="N81" s="574" t="s">
        <v>563</v>
      </c>
      <c r="O81" s="574" t="s">
        <v>563</v>
      </c>
      <c r="P81" s="574" t="s">
        <v>563</v>
      </c>
      <c r="Q81" s="575">
        <f>SUM(Q82:Q86)</f>
        <v>150.46</v>
      </c>
      <c r="R81" s="575">
        <f>IF('Показатели ФХД'!K89=0,0,($Q$81/'Показатели ФХД'!K89)*100)</f>
        <v>7.268195556969427E-2</v>
      </c>
      <c r="S81" s="2439"/>
      <c r="T81" s="653" t="s">
        <v>646</v>
      </c>
      <c r="U81" s="2609"/>
      <c r="V81" s="2609"/>
      <c r="W81" s="1767"/>
      <c r="X81" s="1767"/>
      <c r="Y81" s="1767"/>
      <c r="Z81" s="1767"/>
      <c r="AA81" s="1767"/>
      <c r="AB81" s="1767"/>
      <c r="AC81" s="2609"/>
      <c r="AD81" s="1767"/>
      <c r="AE81" s="1767"/>
      <c r="AF81" s="1767"/>
      <c r="AG81" s="1767"/>
      <c r="AH81" s="1767"/>
      <c r="AI81" s="1767"/>
      <c r="AJ81" s="1767"/>
      <c r="AK81" s="1767"/>
      <c r="AL81" s="1767"/>
      <c r="AM81" s="1767"/>
      <c r="AN81" s="1767"/>
      <c r="AO81" s="1767"/>
      <c r="AP81" s="1767"/>
      <c r="AQ81" s="1767"/>
      <c r="AR81" s="1767"/>
      <c r="AS81" s="1767"/>
      <c r="AT81" s="1767"/>
      <c r="AU81" s="1767"/>
      <c r="AV81" s="1767"/>
      <c r="AW81" s="1767"/>
      <c r="AX81" s="1767"/>
      <c r="AY81" s="1767"/>
      <c r="AZ81" s="1767"/>
      <c r="BA81" s="1767"/>
      <c r="BB81" s="1767"/>
      <c r="BC81" s="1767"/>
      <c r="BD81" s="1767"/>
      <c r="BE81" s="1767"/>
      <c r="BF81" s="1767"/>
      <c r="BG81" s="1767"/>
      <c r="BH81" s="1767"/>
      <c r="BI81" s="1767"/>
      <c r="BJ81" s="1767"/>
      <c r="BK81" s="1767"/>
      <c r="BL81" s="1767"/>
      <c r="BM81" s="1767"/>
      <c r="BN81" s="1767"/>
      <c r="BO81" s="1767"/>
      <c r="BP81" s="1767"/>
      <c r="BQ81" s="1767"/>
      <c r="BR81" s="1767"/>
      <c r="BS81" s="1767"/>
      <c r="BT81" s="1767"/>
      <c r="BU81" s="1767"/>
      <c r="BV81" s="1767"/>
      <c r="BW81" s="1767"/>
      <c r="BX81" s="1767"/>
      <c r="BY81" s="1767"/>
      <c r="BZ81" s="1767"/>
      <c r="CA81" s="1767"/>
      <c r="CB81" s="1767"/>
      <c r="CC81" s="1767"/>
      <c r="CD81" s="1767"/>
      <c r="CE81" s="1767"/>
      <c r="CF81" s="1767"/>
    </row>
    <row r="82" spans="1:84" ht="11.25" customHeight="1">
      <c r="A82" s="1726"/>
      <c r="B82" s="1083"/>
      <c r="C82" s="348"/>
      <c r="D82" s="2609"/>
      <c r="E82" s="2600"/>
      <c r="F82" s="2365" t="s">
        <v>103</v>
      </c>
      <c r="G82" s="2602"/>
      <c r="H82" s="2371"/>
      <c r="I82" s="2604" t="s">
        <v>649</v>
      </c>
      <c r="J82" s="2605" t="s">
        <v>658</v>
      </c>
      <c r="K82" s="2606" t="s">
        <v>693</v>
      </c>
      <c r="L82" s="576"/>
      <c r="M82" s="577" t="s">
        <v>100</v>
      </c>
      <c r="N82" s="1715" t="s">
        <v>694</v>
      </c>
      <c r="O82" s="578">
        <f>Q82</f>
        <v>77.28</v>
      </c>
      <c r="P82" s="579" t="s">
        <v>569</v>
      </c>
      <c r="Q82" s="578">
        <v>77.28</v>
      </c>
      <c r="R82" s="580">
        <v>0</v>
      </c>
      <c r="S82" s="2439"/>
      <c r="T82" s="653"/>
      <c r="U82" s="2609"/>
      <c r="V82" s="2609"/>
      <c r="W82" s="1767"/>
      <c r="X82" s="1767"/>
      <c r="Y82" s="1767"/>
      <c r="Z82" s="1767"/>
      <c r="AA82" s="1767"/>
      <c r="AB82" s="1767"/>
      <c r="AC82" s="2609"/>
      <c r="AD82" s="1767"/>
      <c r="AE82" s="1767"/>
      <c r="AF82" s="1767"/>
      <c r="AG82" s="1767"/>
      <c r="AH82" s="1767"/>
      <c r="AI82" s="1767"/>
      <c r="AJ82" s="1767"/>
      <c r="AK82" s="1767"/>
      <c r="AL82" s="1767"/>
      <c r="AM82" s="1767"/>
      <c r="AN82" s="1767"/>
      <c r="AO82" s="1767"/>
      <c r="AP82" s="1767"/>
      <c r="AQ82" s="1767"/>
      <c r="AR82" s="1767"/>
      <c r="AS82" s="1767"/>
      <c r="AT82" s="1767"/>
      <c r="AU82" s="1767"/>
      <c r="AV82" s="1767"/>
      <c r="AW82" s="1767"/>
      <c r="AX82" s="1767"/>
      <c r="AY82" s="1767"/>
      <c r="AZ82" s="1767"/>
      <c r="BA82" s="1767"/>
      <c r="BB82" s="1767"/>
      <c r="BC82" s="1767"/>
      <c r="BD82" s="1767"/>
      <c r="BE82" s="1767"/>
      <c r="BF82" s="1767"/>
      <c r="BG82" s="1767"/>
      <c r="BH82" s="1767"/>
      <c r="BI82" s="1767"/>
      <c r="BJ82" s="1767"/>
      <c r="BK82" s="1767"/>
      <c r="BL82" s="1767"/>
      <c r="BM82" s="1767"/>
      <c r="BN82" s="1767"/>
      <c r="BO82" s="1767"/>
      <c r="BP82" s="1767"/>
      <c r="BQ82" s="1767"/>
      <c r="BR82" s="1767"/>
      <c r="BS82" s="1767"/>
      <c r="BT82" s="1767"/>
      <c r="BU82" s="1767"/>
      <c r="BV82" s="1767"/>
      <c r="BW82" s="1767"/>
      <c r="BX82" s="1767"/>
      <c r="BY82" s="1767"/>
      <c r="BZ82" s="1767"/>
      <c r="CA82" s="1767"/>
      <c r="CB82" s="1767"/>
      <c r="CC82" s="1767"/>
      <c r="CD82" s="1767"/>
      <c r="CE82" s="1767"/>
      <c r="CF82" s="1767"/>
    </row>
    <row r="83" spans="1:84" ht="11.25" customHeight="1">
      <c r="A83" s="1726"/>
      <c r="B83" s="1083"/>
      <c r="C83" s="348"/>
      <c r="D83" s="2609"/>
      <c r="E83" s="2600"/>
      <c r="F83" s="2365" t="s">
        <v>103</v>
      </c>
      <c r="G83" s="2602"/>
      <c r="H83" s="2371"/>
      <c r="I83" s="2604"/>
      <c r="J83" s="2605"/>
      <c r="K83" s="2607"/>
      <c r="L83" s="581"/>
      <c r="M83" s="582"/>
      <c r="N83" s="583" t="s">
        <v>652</v>
      </c>
      <c r="O83" s="583"/>
      <c r="P83" s="583"/>
      <c r="Q83" s="583"/>
      <c r="R83" s="584"/>
      <c r="S83" s="2439"/>
      <c r="T83" s="653"/>
      <c r="U83" s="2609"/>
      <c r="V83" s="2609"/>
      <c r="W83" s="1767"/>
      <c r="X83" s="1767"/>
      <c r="Y83" s="1767"/>
      <c r="Z83" s="1767"/>
      <c r="AA83" s="1767"/>
      <c r="AB83" s="1767"/>
      <c r="AC83" s="2609"/>
      <c r="AD83" s="1767"/>
      <c r="AE83" s="1767"/>
      <c r="AF83" s="1767"/>
      <c r="AG83" s="1767"/>
      <c r="AH83" s="1767"/>
      <c r="AI83" s="1767"/>
      <c r="AJ83" s="1767"/>
      <c r="AK83" s="1767"/>
      <c r="AL83" s="1767"/>
      <c r="AM83" s="1767"/>
      <c r="AN83" s="1767"/>
      <c r="AO83" s="1767"/>
      <c r="AP83" s="1767"/>
      <c r="AQ83" s="1767"/>
      <c r="AR83" s="1767"/>
      <c r="AS83" s="1767"/>
      <c r="AT83" s="1767"/>
      <c r="AU83" s="1767"/>
      <c r="AV83" s="1767"/>
      <c r="AW83" s="1767"/>
      <c r="AX83" s="1767"/>
      <c r="AY83" s="1767"/>
      <c r="AZ83" s="1767"/>
      <c r="BA83" s="1767"/>
      <c r="BB83" s="1767"/>
      <c r="BC83" s="1767"/>
      <c r="BD83" s="1767"/>
      <c r="BE83" s="1767"/>
      <c r="BF83" s="1767"/>
      <c r="BG83" s="1767"/>
      <c r="BH83" s="1767"/>
      <c r="BI83" s="1767"/>
      <c r="BJ83" s="1767"/>
      <c r="BK83" s="1767"/>
      <c r="BL83" s="1767"/>
      <c r="BM83" s="1767"/>
      <c r="BN83" s="1767"/>
      <c r="BO83" s="1767"/>
      <c r="BP83" s="1767"/>
      <c r="BQ83" s="1767"/>
      <c r="BR83" s="1767"/>
      <c r="BS83" s="1767"/>
      <c r="BT83" s="1767"/>
      <c r="BU83" s="1767"/>
      <c r="BV83" s="1767"/>
      <c r="BW83" s="1767"/>
      <c r="BX83" s="1767"/>
      <c r="BY83" s="1767"/>
      <c r="BZ83" s="1767"/>
      <c r="CA83" s="1767"/>
      <c r="CB83" s="1767"/>
      <c r="CC83" s="1767"/>
      <c r="CD83" s="1767"/>
      <c r="CE83" s="1767"/>
      <c r="CF83" s="1767"/>
    </row>
    <row r="84" spans="1:84" ht="11.25" customHeight="1">
      <c r="A84" s="1726"/>
      <c r="B84" s="1083"/>
      <c r="C84" s="348"/>
      <c r="D84" s="2609"/>
      <c r="E84" s="2608"/>
      <c r="F84" s="2608"/>
      <c r="G84" s="2608"/>
      <c r="H84" s="2371" t="s">
        <v>104</v>
      </c>
      <c r="I84" s="2604" t="s">
        <v>653</v>
      </c>
      <c r="J84" s="2605" t="s">
        <v>658</v>
      </c>
      <c r="K84" s="2606" t="s">
        <v>695</v>
      </c>
      <c r="L84" s="576"/>
      <c r="M84" s="577" t="s">
        <v>100</v>
      </c>
      <c r="N84" s="1715" t="s">
        <v>696</v>
      </c>
      <c r="O84" s="578">
        <f>Q84</f>
        <v>73.180000000000007</v>
      </c>
      <c r="P84" s="579" t="s">
        <v>569</v>
      </c>
      <c r="Q84" s="578">
        <v>73.180000000000007</v>
      </c>
      <c r="R84" s="580">
        <v>0</v>
      </c>
      <c r="S84" s="2609"/>
      <c r="T84" s="653"/>
      <c r="U84" s="2609"/>
      <c r="V84" s="2609"/>
      <c r="W84" s="1767"/>
      <c r="X84" s="1767"/>
      <c r="Y84" s="1767"/>
      <c r="Z84" s="1767"/>
      <c r="AA84" s="1767"/>
      <c r="AB84" s="1767"/>
      <c r="AC84" s="2609"/>
      <c r="AD84" s="1767"/>
      <c r="AE84" s="1767"/>
      <c r="AF84" s="1767"/>
      <c r="AG84" s="1767"/>
      <c r="AH84" s="1767"/>
      <c r="AI84" s="1767"/>
      <c r="AJ84" s="1767"/>
      <c r="AK84" s="1767"/>
      <c r="AL84" s="1767"/>
      <c r="AM84" s="1767"/>
      <c r="AN84" s="1767"/>
      <c r="AO84" s="1767"/>
      <c r="AP84" s="1767"/>
      <c r="AQ84" s="1767"/>
      <c r="AR84" s="1767"/>
      <c r="AS84" s="1767"/>
      <c r="AT84" s="1767"/>
      <c r="AU84" s="1767"/>
      <c r="AV84" s="1767"/>
      <c r="AW84" s="1767"/>
      <c r="AX84" s="1767"/>
      <c r="AY84" s="1767"/>
      <c r="AZ84" s="1767"/>
      <c r="BA84" s="1767"/>
      <c r="BB84" s="1767"/>
      <c r="BC84" s="1767"/>
      <c r="BD84" s="1767"/>
      <c r="BE84" s="1767"/>
      <c r="BF84" s="1767"/>
      <c r="BG84" s="1767"/>
      <c r="BH84" s="1767"/>
      <c r="BI84" s="1767"/>
      <c r="BJ84" s="1767"/>
      <c r="BK84" s="1767"/>
      <c r="BL84" s="1767"/>
      <c r="BM84" s="1767"/>
      <c r="BN84" s="1767"/>
      <c r="BO84" s="1767"/>
      <c r="BP84" s="1767"/>
      <c r="BQ84" s="1767"/>
      <c r="BR84" s="1767"/>
      <c r="BS84" s="1767"/>
      <c r="BT84" s="1767"/>
      <c r="BU84" s="1767"/>
      <c r="BV84" s="1767"/>
      <c r="BW84" s="1767"/>
      <c r="BX84" s="1767"/>
      <c r="BY84" s="1767"/>
      <c r="BZ84" s="1767"/>
      <c r="CA84" s="1767"/>
      <c r="CB84" s="1767"/>
      <c r="CC84" s="1767"/>
      <c r="CD84" s="1767"/>
      <c r="CE84" s="1767"/>
      <c r="CF84" s="1767"/>
    </row>
    <row r="85" spans="1:84" ht="11.25" customHeight="1">
      <c r="A85" s="1726"/>
      <c r="B85" s="1083"/>
      <c r="C85" s="348"/>
      <c r="D85" s="2609"/>
      <c r="E85" s="2608"/>
      <c r="F85" s="2608"/>
      <c r="G85" s="2608"/>
      <c r="H85" s="2371"/>
      <c r="I85" s="2604" t="s">
        <v>649</v>
      </c>
      <c r="J85" s="2605"/>
      <c r="K85" s="2607"/>
      <c r="L85" s="581"/>
      <c r="M85" s="582"/>
      <c r="N85" s="583" t="s">
        <v>652</v>
      </c>
      <c r="O85" s="583"/>
      <c r="P85" s="583"/>
      <c r="Q85" s="583"/>
      <c r="R85" s="584"/>
      <c r="S85" s="2609"/>
      <c r="T85" s="653"/>
      <c r="U85" s="2609"/>
      <c r="V85" s="2609"/>
      <c r="W85" s="1767"/>
      <c r="X85" s="1767"/>
      <c r="Y85" s="1767"/>
      <c r="Z85" s="1767"/>
      <c r="AA85" s="1767"/>
      <c r="AB85" s="1767"/>
      <c r="AC85" s="2609"/>
      <c r="AD85" s="1767"/>
      <c r="AE85" s="1767"/>
      <c r="AF85" s="1767"/>
      <c r="AG85" s="1767"/>
      <c r="AH85" s="1767"/>
      <c r="AI85" s="1767"/>
      <c r="AJ85" s="1767"/>
      <c r="AK85" s="1767"/>
      <c r="AL85" s="1767"/>
      <c r="AM85" s="1767"/>
      <c r="AN85" s="1767"/>
      <c r="AO85" s="1767"/>
      <c r="AP85" s="1767"/>
      <c r="AQ85" s="1767"/>
      <c r="AR85" s="1767"/>
      <c r="AS85" s="1767"/>
      <c r="AT85" s="1767"/>
      <c r="AU85" s="1767"/>
      <c r="AV85" s="1767"/>
      <c r="AW85" s="1767"/>
      <c r="AX85" s="1767"/>
      <c r="AY85" s="1767"/>
      <c r="AZ85" s="1767"/>
      <c r="BA85" s="1767"/>
      <c r="BB85" s="1767"/>
      <c r="BC85" s="1767"/>
      <c r="BD85" s="1767"/>
      <c r="BE85" s="1767"/>
      <c r="BF85" s="1767"/>
      <c r="BG85" s="1767"/>
      <c r="BH85" s="1767"/>
      <c r="BI85" s="1767"/>
      <c r="BJ85" s="1767"/>
      <c r="BK85" s="1767"/>
      <c r="BL85" s="1767"/>
      <c r="BM85" s="1767"/>
      <c r="BN85" s="1767"/>
      <c r="BO85" s="1767"/>
      <c r="BP85" s="1767"/>
      <c r="BQ85" s="1767"/>
      <c r="BR85" s="1767"/>
      <c r="BS85" s="1767"/>
      <c r="BT85" s="1767"/>
      <c r="BU85" s="1767"/>
      <c r="BV85" s="1767"/>
      <c r="BW85" s="1767"/>
      <c r="BX85" s="1767"/>
      <c r="BY85" s="1767"/>
      <c r="BZ85" s="1767"/>
      <c r="CA85" s="1767"/>
      <c r="CB85" s="1767"/>
      <c r="CC85" s="1767"/>
      <c r="CD85" s="1767"/>
      <c r="CE85" s="1767"/>
      <c r="CF85" s="1767"/>
    </row>
    <row r="86" spans="1:84" ht="11.25" customHeight="1">
      <c r="A86" s="1726"/>
      <c r="B86" s="1083"/>
      <c r="C86" s="348"/>
      <c r="D86" s="2609"/>
      <c r="E86" s="2601"/>
      <c r="F86" s="2365" t="s">
        <v>103</v>
      </c>
      <c r="G86" s="2603"/>
      <c r="H86" s="581" t="s">
        <v>22</v>
      </c>
      <c r="I86" s="582"/>
      <c r="J86" s="583" t="s">
        <v>656</v>
      </c>
      <c r="K86" s="583"/>
      <c r="L86" s="583"/>
      <c r="M86" s="583"/>
      <c r="N86" s="583"/>
      <c r="O86" s="583"/>
      <c r="P86" s="583"/>
      <c r="Q86" s="583"/>
      <c r="R86" s="584"/>
      <c r="S86" s="2439"/>
      <c r="T86" s="653"/>
      <c r="U86" s="2609"/>
      <c r="V86" s="2609"/>
      <c r="W86" s="1767"/>
      <c r="X86" s="1767"/>
      <c r="Y86" s="1767"/>
      <c r="Z86" s="1767"/>
      <c r="AA86" s="1767"/>
      <c r="AB86" s="1767"/>
      <c r="AC86" s="2609"/>
      <c r="AD86" s="1767"/>
      <c r="AE86" s="1767"/>
      <c r="AF86" s="1767"/>
      <c r="AG86" s="1767"/>
      <c r="AH86" s="1767"/>
      <c r="AI86" s="1767"/>
      <c r="AJ86" s="1767"/>
      <c r="AK86" s="1767"/>
      <c r="AL86" s="1767"/>
      <c r="AM86" s="1767"/>
      <c r="AN86" s="1767"/>
      <c r="AO86" s="1767"/>
      <c r="AP86" s="1767"/>
      <c r="AQ86" s="1767"/>
      <c r="AR86" s="1767"/>
      <c r="AS86" s="1767"/>
      <c r="AT86" s="1767"/>
      <c r="AU86" s="1767"/>
      <c r="AV86" s="1767"/>
      <c r="AW86" s="1767"/>
      <c r="AX86" s="1767"/>
      <c r="AY86" s="1767"/>
      <c r="AZ86" s="1767"/>
      <c r="BA86" s="1767"/>
      <c r="BB86" s="1767"/>
      <c r="BC86" s="1767"/>
      <c r="BD86" s="1767"/>
      <c r="BE86" s="1767"/>
      <c r="BF86" s="1767"/>
      <c r="BG86" s="1767"/>
      <c r="BH86" s="1767"/>
      <c r="BI86" s="1767"/>
      <c r="BJ86" s="1767"/>
      <c r="BK86" s="1767"/>
      <c r="BL86" s="1767"/>
      <c r="BM86" s="1767"/>
      <c r="BN86" s="1767"/>
      <c r="BO86" s="1767"/>
      <c r="BP86" s="1767"/>
      <c r="BQ86" s="1767"/>
      <c r="BR86" s="1767"/>
      <c r="BS86" s="1767"/>
      <c r="BT86" s="1767"/>
      <c r="BU86" s="1767"/>
      <c r="BV86" s="1767"/>
      <c r="BW86" s="1767"/>
      <c r="BX86" s="1767"/>
      <c r="BY86" s="1767"/>
      <c r="BZ86" s="1767"/>
      <c r="CA86" s="1767"/>
      <c r="CB86" s="1767"/>
      <c r="CC86" s="1767"/>
      <c r="CD86" s="1767"/>
      <c r="CE86" s="1767"/>
      <c r="CF86" s="1767"/>
    </row>
    <row r="87" spans="1:84" ht="45" customHeight="1">
      <c r="A87" s="1726"/>
      <c r="B87" s="1083"/>
      <c r="C87" s="348"/>
      <c r="D87" s="2609"/>
      <c r="E87" s="2599" t="s">
        <v>104</v>
      </c>
      <c r="F87" s="2365" t="s">
        <v>92</v>
      </c>
      <c r="G87" s="2602" t="s">
        <v>697</v>
      </c>
      <c r="H87" s="226"/>
      <c r="I87" s="573" t="s">
        <v>100</v>
      </c>
      <c r="J87" s="1727" t="s">
        <v>648</v>
      </c>
      <c r="K87" s="574" t="s">
        <v>563</v>
      </c>
      <c r="L87" s="2479" t="s">
        <v>563</v>
      </c>
      <c r="M87" s="2415"/>
      <c r="N87" s="574" t="s">
        <v>563</v>
      </c>
      <c r="O87" s="574" t="s">
        <v>563</v>
      </c>
      <c r="P87" s="574" t="s">
        <v>563</v>
      </c>
      <c r="Q87" s="575">
        <f>SUM(Q88:Q90)</f>
        <v>180.56</v>
      </c>
      <c r="R87" s="575">
        <f>IF('Показатели ФХД'!K89=0,0,($Q$87/'Показатели ФХД'!K89)*100)</f>
        <v>8.7222211203402886E-2</v>
      </c>
      <c r="S87" s="2439"/>
      <c r="T87" s="653" t="s">
        <v>646</v>
      </c>
      <c r="U87" s="2609"/>
      <c r="V87" s="2609"/>
      <c r="W87" s="1767"/>
      <c r="X87" s="1767"/>
      <c r="Y87" s="1767"/>
      <c r="Z87" s="1767"/>
      <c r="AA87" s="1767"/>
      <c r="AB87" s="1767"/>
      <c r="AC87" s="2609"/>
      <c r="AD87" s="1767"/>
      <c r="AE87" s="1767"/>
      <c r="AF87" s="1767"/>
      <c r="AG87" s="1767"/>
      <c r="AH87" s="1767"/>
      <c r="AI87" s="1767"/>
      <c r="AJ87" s="1767"/>
      <c r="AK87" s="1767"/>
      <c r="AL87" s="1767"/>
      <c r="AM87" s="1767"/>
      <c r="AN87" s="1767"/>
      <c r="AO87" s="1767"/>
      <c r="AP87" s="1767"/>
      <c r="AQ87" s="1767"/>
      <c r="AR87" s="1767"/>
      <c r="AS87" s="1767"/>
      <c r="AT87" s="1767"/>
      <c r="AU87" s="1767"/>
      <c r="AV87" s="1767"/>
      <c r="AW87" s="1767"/>
      <c r="AX87" s="1767"/>
      <c r="AY87" s="1767"/>
      <c r="AZ87" s="1767"/>
      <c r="BA87" s="1767"/>
      <c r="BB87" s="1767"/>
      <c r="BC87" s="1767"/>
      <c r="BD87" s="1767"/>
      <c r="BE87" s="1767"/>
      <c r="BF87" s="1767"/>
      <c r="BG87" s="1767"/>
      <c r="BH87" s="1767"/>
      <c r="BI87" s="1767"/>
      <c r="BJ87" s="1767"/>
      <c r="BK87" s="1767"/>
      <c r="BL87" s="1767"/>
      <c r="BM87" s="1767"/>
      <c r="BN87" s="1767"/>
      <c r="BO87" s="1767"/>
      <c r="BP87" s="1767"/>
      <c r="BQ87" s="1767"/>
      <c r="BR87" s="1767"/>
      <c r="BS87" s="1767"/>
      <c r="BT87" s="1767"/>
      <c r="BU87" s="1767"/>
      <c r="BV87" s="1767"/>
      <c r="BW87" s="1767"/>
      <c r="BX87" s="1767"/>
      <c r="BY87" s="1767"/>
      <c r="BZ87" s="1767"/>
      <c r="CA87" s="1767"/>
      <c r="CB87" s="1767"/>
      <c r="CC87" s="1767"/>
      <c r="CD87" s="1767"/>
      <c r="CE87" s="1767"/>
      <c r="CF87" s="1767"/>
    </row>
    <row r="88" spans="1:84" ht="11.25" customHeight="1">
      <c r="A88" s="1726"/>
      <c r="B88" s="1083"/>
      <c r="C88" s="348"/>
      <c r="D88" s="2609"/>
      <c r="E88" s="2600"/>
      <c r="F88" s="2365" t="s">
        <v>91</v>
      </c>
      <c r="G88" s="2602"/>
      <c r="H88" s="2371"/>
      <c r="I88" s="2604" t="s">
        <v>649</v>
      </c>
      <c r="J88" s="2605" t="s">
        <v>658</v>
      </c>
      <c r="K88" s="2606" t="s">
        <v>698</v>
      </c>
      <c r="L88" s="576"/>
      <c r="M88" s="577" t="s">
        <v>100</v>
      </c>
      <c r="N88" s="1715" t="s">
        <v>699</v>
      </c>
      <c r="O88" s="578">
        <f>Q88</f>
        <v>180.56</v>
      </c>
      <c r="P88" s="579" t="s">
        <v>569</v>
      </c>
      <c r="Q88" s="578">
        <v>180.56</v>
      </c>
      <c r="R88" s="580">
        <v>0</v>
      </c>
      <c r="S88" s="2439"/>
      <c r="T88" s="653"/>
      <c r="U88" s="2609"/>
      <c r="V88" s="2609"/>
      <c r="W88" s="1767"/>
      <c r="X88" s="1767"/>
      <c r="Y88" s="1767"/>
      <c r="Z88" s="1767"/>
      <c r="AA88" s="1767"/>
      <c r="AB88" s="1767"/>
      <c r="AC88" s="2609"/>
      <c r="AD88" s="1767"/>
      <c r="AE88" s="1767"/>
      <c r="AF88" s="1767"/>
      <c r="AG88" s="1767"/>
      <c r="AH88" s="1767"/>
      <c r="AI88" s="1767"/>
      <c r="AJ88" s="1767"/>
      <c r="AK88" s="1767"/>
      <c r="AL88" s="1767"/>
      <c r="AM88" s="1767"/>
      <c r="AN88" s="1767"/>
      <c r="AO88" s="1767"/>
      <c r="AP88" s="1767"/>
      <c r="AQ88" s="1767"/>
      <c r="AR88" s="1767"/>
      <c r="AS88" s="1767"/>
      <c r="AT88" s="1767"/>
      <c r="AU88" s="1767"/>
      <c r="AV88" s="1767"/>
      <c r="AW88" s="1767"/>
      <c r="AX88" s="1767"/>
      <c r="AY88" s="1767"/>
      <c r="AZ88" s="1767"/>
      <c r="BA88" s="1767"/>
      <c r="BB88" s="1767"/>
      <c r="BC88" s="1767"/>
      <c r="BD88" s="1767"/>
      <c r="BE88" s="1767"/>
      <c r="BF88" s="1767"/>
      <c r="BG88" s="1767"/>
      <c r="BH88" s="1767"/>
      <c r="BI88" s="1767"/>
      <c r="BJ88" s="1767"/>
      <c r="BK88" s="1767"/>
      <c r="BL88" s="1767"/>
      <c r="BM88" s="1767"/>
      <c r="BN88" s="1767"/>
      <c r="BO88" s="1767"/>
      <c r="BP88" s="1767"/>
      <c r="BQ88" s="1767"/>
      <c r="BR88" s="1767"/>
      <c r="BS88" s="1767"/>
      <c r="BT88" s="1767"/>
      <c r="BU88" s="1767"/>
      <c r="BV88" s="1767"/>
      <c r="BW88" s="1767"/>
      <c r="BX88" s="1767"/>
      <c r="BY88" s="1767"/>
      <c r="BZ88" s="1767"/>
      <c r="CA88" s="1767"/>
      <c r="CB88" s="1767"/>
      <c r="CC88" s="1767"/>
      <c r="CD88" s="1767"/>
      <c r="CE88" s="1767"/>
      <c r="CF88" s="1767"/>
    </row>
    <row r="89" spans="1:84" ht="11.25" customHeight="1">
      <c r="A89" s="1726"/>
      <c r="B89" s="1083"/>
      <c r="C89" s="348"/>
      <c r="D89" s="2609"/>
      <c r="E89" s="2600"/>
      <c r="F89" s="2365" t="s">
        <v>91</v>
      </c>
      <c r="G89" s="2602"/>
      <c r="H89" s="2371"/>
      <c r="I89" s="2604"/>
      <c r="J89" s="2605"/>
      <c r="K89" s="2607"/>
      <c r="L89" s="581"/>
      <c r="M89" s="582"/>
      <c r="N89" s="583" t="s">
        <v>652</v>
      </c>
      <c r="O89" s="583"/>
      <c r="P89" s="583"/>
      <c r="Q89" s="583"/>
      <c r="R89" s="584"/>
      <c r="S89" s="2439"/>
      <c r="T89" s="653"/>
      <c r="U89" s="2609"/>
      <c r="V89" s="2609"/>
      <c r="W89" s="1767"/>
      <c r="X89" s="1767"/>
      <c r="Y89" s="1767"/>
      <c r="Z89" s="1767"/>
      <c r="AA89" s="1767"/>
      <c r="AB89" s="1767"/>
      <c r="AC89" s="2609"/>
      <c r="AD89" s="1767"/>
      <c r="AE89" s="1767"/>
      <c r="AF89" s="1767"/>
      <c r="AG89" s="1767"/>
      <c r="AH89" s="1767"/>
      <c r="AI89" s="1767"/>
      <c r="AJ89" s="1767"/>
      <c r="AK89" s="1767"/>
      <c r="AL89" s="1767"/>
      <c r="AM89" s="1767"/>
      <c r="AN89" s="1767"/>
      <c r="AO89" s="1767"/>
      <c r="AP89" s="1767"/>
      <c r="AQ89" s="1767"/>
      <c r="AR89" s="1767"/>
      <c r="AS89" s="1767"/>
      <c r="AT89" s="1767"/>
      <c r="AU89" s="1767"/>
      <c r="AV89" s="1767"/>
      <c r="AW89" s="1767"/>
      <c r="AX89" s="1767"/>
      <c r="AY89" s="1767"/>
      <c r="AZ89" s="1767"/>
      <c r="BA89" s="1767"/>
      <c r="BB89" s="1767"/>
      <c r="BC89" s="1767"/>
      <c r="BD89" s="1767"/>
      <c r="BE89" s="1767"/>
      <c r="BF89" s="1767"/>
      <c r="BG89" s="1767"/>
      <c r="BH89" s="1767"/>
      <c r="BI89" s="1767"/>
      <c r="BJ89" s="1767"/>
      <c r="BK89" s="1767"/>
      <c r="BL89" s="1767"/>
      <c r="BM89" s="1767"/>
      <c r="BN89" s="1767"/>
      <c r="BO89" s="1767"/>
      <c r="BP89" s="1767"/>
      <c r="BQ89" s="1767"/>
      <c r="BR89" s="1767"/>
      <c r="BS89" s="1767"/>
      <c r="BT89" s="1767"/>
      <c r="BU89" s="1767"/>
      <c r="BV89" s="1767"/>
      <c r="BW89" s="1767"/>
      <c r="BX89" s="1767"/>
      <c r="BY89" s="1767"/>
      <c r="BZ89" s="1767"/>
      <c r="CA89" s="1767"/>
      <c r="CB89" s="1767"/>
      <c r="CC89" s="1767"/>
      <c r="CD89" s="1767"/>
      <c r="CE89" s="1767"/>
      <c r="CF89" s="1767"/>
    </row>
    <row r="90" spans="1:84" ht="11.25" customHeight="1">
      <c r="A90" s="1726"/>
      <c r="B90" s="1083"/>
      <c r="C90" s="348"/>
      <c r="D90" s="2609"/>
      <c r="E90" s="2601"/>
      <c r="F90" s="2365" t="s">
        <v>91</v>
      </c>
      <c r="G90" s="2603"/>
      <c r="H90" s="581" t="s">
        <v>22</v>
      </c>
      <c r="I90" s="582"/>
      <c r="J90" s="583" t="s">
        <v>656</v>
      </c>
      <c r="K90" s="583"/>
      <c r="L90" s="583"/>
      <c r="M90" s="583"/>
      <c r="N90" s="583"/>
      <c r="O90" s="583"/>
      <c r="P90" s="583"/>
      <c r="Q90" s="583"/>
      <c r="R90" s="584"/>
      <c r="S90" s="2439"/>
      <c r="T90" s="653"/>
      <c r="U90" s="2609"/>
      <c r="V90" s="2609"/>
      <c r="W90" s="1767"/>
      <c r="X90" s="1767"/>
      <c r="Y90" s="1767"/>
      <c r="Z90" s="1767"/>
      <c r="AA90" s="1767"/>
      <c r="AB90" s="1767"/>
      <c r="AC90" s="2609"/>
      <c r="AD90" s="1767"/>
      <c r="AE90" s="1767"/>
      <c r="AF90" s="1767"/>
      <c r="AG90" s="1767"/>
      <c r="AH90" s="1767"/>
      <c r="AI90" s="1767"/>
      <c r="AJ90" s="1767"/>
      <c r="AK90" s="1767"/>
      <c r="AL90" s="1767"/>
      <c r="AM90" s="1767"/>
      <c r="AN90" s="1767"/>
      <c r="AO90" s="1767"/>
      <c r="AP90" s="1767"/>
      <c r="AQ90" s="1767"/>
      <c r="AR90" s="1767"/>
      <c r="AS90" s="1767"/>
      <c r="AT90" s="1767"/>
      <c r="AU90" s="1767"/>
      <c r="AV90" s="1767"/>
      <c r="AW90" s="1767"/>
      <c r="AX90" s="1767"/>
      <c r="AY90" s="1767"/>
      <c r="AZ90" s="1767"/>
      <c r="BA90" s="1767"/>
      <c r="BB90" s="1767"/>
      <c r="BC90" s="1767"/>
      <c r="BD90" s="1767"/>
      <c r="BE90" s="1767"/>
      <c r="BF90" s="1767"/>
      <c r="BG90" s="1767"/>
      <c r="BH90" s="1767"/>
      <c r="BI90" s="1767"/>
      <c r="BJ90" s="1767"/>
      <c r="BK90" s="1767"/>
      <c r="BL90" s="1767"/>
      <c r="BM90" s="1767"/>
      <c r="BN90" s="1767"/>
      <c r="BO90" s="1767"/>
      <c r="BP90" s="1767"/>
      <c r="BQ90" s="1767"/>
      <c r="BR90" s="1767"/>
      <c r="BS90" s="1767"/>
      <c r="BT90" s="1767"/>
      <c r="BU90" s="1767"/>
      <c r="BV90" s="1767"/>
      <c r="BW90" s="1767"/>
      <c r="BX90" s="1767"/>
      <c r="BY90" s="1767"/>
      <c r="BZ90" s="1767"/>
      <c r="CA90" s="1767"/>
      <c r="CB90" s="1767"/>
      <c r="CC90" s="1767"/>
      <c r="CD90" s="1767"/>
      <c r="CE90" s="1767"/>
      <c r="CF90" s="1767"/>
    </row>
    <row r="91" spans="1:84" ht="45" customHeight="1">
      <c r="A91" s="1726"/>
      <c r="B91" s="1083"/>
      <c r="C91" s="348"/>
      <c r="D91" s="2609"/>
      <c r="E91" s="2599" t="s">
        <v>104</v>
      </c>
      <c r="F91" s="2365" t="s">
        <v>123</v>
      </c>
      <c r="G91" s="2602" t="s">
        <v>700</v>
      </c>
      <c r="H91" s="226"/>
      <c r="I91" s="573" t="s">
        <v>100</v>
      </c>
      <c r="J91" s="1727" t="s">
        <v>648</v>
      </c>
      <c r="K91" s="574" t="s">
        <v>563</v>
      </c>
      <c r="L91" s="2479" t="s">
        <v>563</v>
      </c>
      <c r="M91" s="2415"/>
      <c r="N91" s="574" t="s">
        <v>563</v>
      </c>
      <c r="O91" s="574" t="s">
        <v>563</v>
      </c>
      <c r="P91" s="574" t="s">
        <v>563</v>
      </c>
      <c r="Q91" s="575">
        <f>SUM(Q92:Q94)</f>
        <v>108625.39</v>
      </c>
      <c r="R91" s="575">
        <f>IF('Показатели ФХД'!K89=0,0,($Q$91/'Показатели ФХД'!K89)*100)</f>
        <v>52.473120894062951</v>
      </c>
      <c r="S91" s="2439"/>
      <c r="T91" s="653" t="s">
        <v>646</v>
      </c>
      <c r="U91" s="2609"/>
      <c r="V91" s="2609"/>
      <c r="W91" s="1767"/>
      <c r="X91" s="1767"/>
      <c r="Y91" s="1767"/>
      <c r="Z91" s="1767"/>
      <c r="AA91" s="1767"/>
      <c r="AB91" s="1767"/>
      <c r="AC91" s="2609"/>
      <c r="AD91" s="1767"/>
      <c r="AE91" s="1767"/>
      <c r="AF91" s="1767"/>
      <c r="AG91" s="1767"/>
      <c r="AH91" s="1767"/>
      <c r="AI91" s="1767"/>
      <c r="AJ91" s="1767"/>
      <c r="AK91" s="1767"/>
      <c r="AL91" s="1767"/>
      <c r="AM91" s="1767"/>
      <c r="AN91" s="1767"/>
      <c r="AO91" s="1767"/>
      <c r="AP91" s="1767"/>
      <c r="AQ91" s="1767"/>
      <c r="AR91" s="1767"/>
      <c r="AS91" s="1767"/>
      <c r="AT91" s="1767"/>
      <c r="AU91" s="1767"/>
      <c r="AV91" s="1767"/>
      <c r="AW91" s="1767"/>
      <c r="AX91" s="1767"/>
      <c r="AY91" s="1767"/>
      <c r="AZ91" s="1767"/>
      <c r="BA91" s="1767"/>
      <c r="BB91" s="1767"/>
      <c r="BC91" s="1767"/>
      <c r="BD91" s="1767"/>
      <c r="BE91" s="1767"/>
      <c r="BF91" s="1767"/>
      <c r="BG91" s="1767"/>
      <c r="BH91" s="1767"/>
      <c r="BI91" s="1767"/>
      <c r="BJ91" s="1767"/>
      <c r="BK91" s="1767"/>
      <c r="BL91" s="1767"/>
      <c r="BM91" s="1767"/>
      <c r="BN91" s="1767"/>
      <c r="BO91" s="1767"/>
      <c r="BP91" s="1767"/>
      <c r="BQ91" s="1767"/>
      <c r="BR91" s="1767"/>
      <c r="BS91" s="1767"/>
      <c r="BT91" s="1767"/>
      <c r="BU91" s="1767"/>
      <c r="BV91" s="1767"/>
      <c r="BW91" s="1767"/>
      <c r="BX91" s="1767"/>
      <c r="BY91" s="1767"/>
      <c r="BZ91" s="1767"/>
      <c r="CA91" s="1767"/>
      <c r="CB91" s="1767"/>
      <c r="CC91" s="1767"/>
      <c r="CD91" s="1767"/>
      <c r="CE91" s="1767"/>
      <c r="CF91" s="1767"/>
    </row>
    <row r="92" spans="1:84" ht="11.25" customHeight="1">
      <c r="A92" s="1726"/>
      <c r="B92" s="1083"/>
      <c r="C92" s="348"/>
      <c r="D92" s="2609"/>
      <c r="E92" s="2600"/>
      <c r="F92" s="2365" t="s">
        <v>92</v>
      </c>
      <c r="G92" s="2602"/>
      <c r="H92" s="2371"/>
      <c r="I92" s="2604" t="s">
        <v>649</v>
      </c>
      <c r="J92" s="2605" t="s">
        <v>588</v>
      </c>
      <c r="K92" s="2606" t="s">
        <v>701</v>
      </c>
      <c r="L92" s="576"/>
      <c r="M92" s="577" t="s">
        <v>100</v>
      </c>
      <c r="N92" s="1715" t="s">
        <v>702</v>
      </c>
      <c r="O92" s="578">
        <f>Q92</f>
        <v>108625.39</v>
      </c>
      <c r="P92" s="579" t="s">
        <v>569</v>
      </c>
      <c r="Q92" s="578">
        <v>108625.39</v>
      </c>
      <c r="R92" s="580">
        <v>0</v>
      </c>
      <c r="S92" s="2439"/>
      <c r="T92" s="653"/>
      <c r="U92" s="2609"/>
      <c r="V92" s="2609"/>
      <c r="W92" s="1767"/>
      <c r="X92" s="1767"/>
      <c r="Y92" s="1767"/>
      <c r="Z92" s="1767"/>
      <c r="AA92" s="1767"/>
      <c r="AB92" s="1767"/>
      <c r="AC92" s="2609"/>
      <c r="AD92" s="1767"/>
      <c r="AE92" s="1767"/>
      <c r="AF92" s="1767"/>
      <c r="AG92" s="1767"/>
      <c r="AH92" s="1767"/>
      <c r="AI92" s="1767"/>
      <c r="AJ92" s="1767"/>
      <c r="AK92" s="1767"/>
      <c r="AL92" s="1767"/>
      <c r="AM92" s="1767"/>
      <c r="AN92" s="1767"/>
      <c r="AO92" s="1767"/>
      <c r="AP92" s="1767"/>
      <c r="AQ92" s="1767"/>
      <c r="AR92" s="1767"/>
      <c r="AS92" s="1767"/>
      <c r="AT92" s="1767"/>
      <c r="AU92" s="1767"/>
      <c r="AV92" s="1767"/>
      <c r="AW92" s="1767"/>
      <c r="AX92" s="1767"/>
      <c r="AY92" s="1767"/>
      <c r="AZ92" s="1767"/>
      <c r="BA92" s="1767"/>
      <c r="BB92" s="1767"/>
      <c r="BC92" s="1767"/>
      <c r="BD92" s="1767"/>
      <c r="BE92" s="1767"/>
      <c r="BF92" s="1767"/>
      <c r="BG92" s="1767"/>
      <c r="BH92" s="1767"/>
      <c r="BI92" s="1767"/>
      <c r="BJ92" s="1767"/>
      <c r="BK92" s="1767"/>
      <c r="BL92" s="1767"/>
      <c r="BM92" s="1767"/>
      <c r="BN92" s="1767"/>
      <c r="BO92" s="1767"/>
      <c r="BP92" s="1767"/>
      <c r="BQ92" s="1767"/>
      <c r="BR92" s="1767"/>
      <c r="BS92" s="1767"/>
      <c r="BT92" s="1767"/>
      <c r="BU92" s="1767"/>
      <c r="BV92" s="1767"/>
      <c r="BW92" s="1767"/>
      <c r="BX92" s="1767"/>
      <c r="BY92" s="1767"/>
      <c r="BZ92" s="1767"/>
      <c r="CA92" s="1767"/>
      <c r="CB92" s="1767"/>
      <c r="CC92" s="1767"/>
      <c r="CD92" s="1767"/>
      <c r="CE92" s="1767"/>
      <c r="CF92" s="1767"/>
    </row>
    <row r="93" spans="1:84" ht="11.25" customHeight="1">
      <c r="A93" s="1726"/>
      <c r="B93" s="1083"/>
      <c r="C93" s="348"/>
      <c r="D93" s="2609"/>
      <c r="E93" s="2600"/>
      <c r="F93" s="2365" t="s">
        <v>92</v>
      </c>
      <c r="G93" s="2602"/>
      <c r="H93" s="2371"/>
      <c r="I93" s="2604"/>
      <c r="J93" s="2605"/>
      <c r="K93" s="2607"/>
      <c r="L93" s="581"/>
      <c r="M93" s="582"/>
      <c r="N93" s="583" t="s">
        <v>652</v>
      </c>
      <c r="O93" s="583"/>
      <c r="P93" s="583"/>
      <c r="Q93" s="583"/>
      <c r="R93" s="584"/>
      <c r="S93" s="2439"/>
      <c r="T93" s="653"/>
      <c r="U93" s="2609"/>
      <c r="V93" s="2609"/>
      <c r="W93" s="1767"/>
      <c r="X93" s="1767"/>
      <c r="Y93" s="1767"/>
      <c r="Z93" s="1767"/>
      <c r="AA93" s="1767"/>
      <c r="AB93" s="1767"/>
      <c r="AC93" s="2609"/>
      <c r="AD93" s="1767"/>
      <c r="AE93" s="1767"/>
      <c r="AF93" s="1767"/>
      <c r="AG93" s="1767"/>
      <c r="AH93" s="1767"/>
      <c r="AI93" s="1767"/>
      <c r="AJ93" s="1767"/>
      <c r="AK93" s="1767"/>
      <c r="AL93" s="1767"/>
      <c r="AM93" s="1767"/>
      <c r="AN93" s="1767"/>
      <c r="AO93" s="1767"/>
      <c r="AP93" s="1767"/>
      <c r="AQ93" s="1767"/>
      <c r="AR93" s="1767"/>
      <c r="AS93" s="1767"/>
      <c r="AT93" s="1767"/>
      <c r="AU93" s="1767"/>
      <c r="AV93" s="1767"/>
      <c r="AW93" s="1767"/>
      <c r="AX93" s="1767"/>
      <c r="AY93" s="1767"/>
      <c r="AZ93" s="1767"/>
      <c r="BA93" s="1767"/>
      <c r="BB93" s="1767"/>
      <c r="BC93" s="1767"/>
      <c r="BD93" s="1767"/>
      <c r="BE93" s="1767"/>
      <c r="BF93" s="1767"/>
      <c r="BG93" s="1767"/>
      <c r="BH93" s="1767"/>
      <c r="BI93" s="1767"/>
      <c r="BJ93" s="1767"/>
      <c r="BK93" s="1767"/>
      <c r="BL93" s="1767"/>
      <c r="BM93" s="1767"/>
      <c r="BN93" s="1767"/>
      <c r="BO93" s="1767"/>
      <c r="BP93" s="1767"/>
      <c r="BQ93" s="1767"/>
      <c r="BR93" s="1767"/>
      <c r="BS93" s="1767"/>
      <c r="BT93" s="1767"/>
      <c r="BU93" s="1767"/>
      <c r="BV93" s="1767"/>
      <c r="BW93" s="1767"/>
      <c r="BX93" s="1767"/>
      <c r="BY93" s="1767"/>
      <c r="BZ93" s="1767"/>
      <c r="CA93" s="1767"/>
      <c r="CB93" s="1767"/>
      <c r="CC93" s="1767"/>
      <c r="CD93" s="1767"/>
      <c r="CE93" s="1767"/>
      <c r="CF93" s="1767"/>
    </row>
    <row r="94" spans="1:84" ht="11.25" customHeight="1">
      <c r="A94" s="1726"/>
      <c r="B94" s="1083"/>
      <c r="C94" s="348"/>
      <c r="D94" s="2609"/>
      <c r="E94" s="2601"/>
      <c r="F94" s="2365" t="s">
        <v>92</v>
      </c>
      <c r="G94" s="2603"/>
      <c r="H94" s="581" t="s">
        <v>22</v>
      </c>
      <c r="I94" s="582"/>
      <c r="J94" s="583" t="s">
        <v>656</v>
      </c>
      <c r="K94" s="583"/>
      <c r="L94" s="583"/>
      <c r="M94" s="583"/>
      <c r="N94" s="583"/>
      <c r="O94" s="583"/>
      <c r="P94" s="583"/>
      <c r="Q94" s="583"/>
      <c r="R94" s="584"/>
      <c r="S94" s="2439"/>
      <c r="T94" s="653"/>
      <c r="U94" s="2609"/>
      <c r="V94" s="2609"/>
      <c r="W94" s="1767"/>
      <c r="X94" s="1767"/>
      <c r="Y94" s="1767"/>
      <c r="Z94" s="1767"/>
      <c r="AA94" s="1767"/>
      <c r="AB94" s="1767"/>
      <c r="AC94" s="2609"/>
      <c r="AD94" s="1767"/>
      <c r="AE94" s="1767"/>
      <c r="AF94" s="1767"/>
      <c r="AG94" s="1767"/>
      <c r="AH94" s="1767"/>
      <c r="AI94" s="1767"/>
      <c r="AJ94" s="1767"/>
      <c r="AK94" s="1767"/>
      <c r="AL94" s="1767"/>
      <c r="AM94" s="1767"/>
      <c r="AN94" s="1767"/>
      <c r="AO94" s="1767"/>
      <c r="AP94" s="1767"/>
      <c r="AQ94" s="1767"/>
      <c r="AR94" s="1767"/>
      <c r="AS94" s="1767"/>
      <c r="AT94" s="1767"/>
      <c r="AU94" s="1767"/>
      <c r="AV94" s="1767"/>
      <c r="AW94" s="1767"/>
      <c r="AX94" s="1767"/>
      <c r="AY94" s="1767"/>
      <c r="AZ94" s="1767"/>
      <c r="BA94" s="1767"/>
      <c r="BB94" s="1767"/>
      <c r="BC94" s="1767"/>
      <c r="BD94" s="1767"/>
      <c r="BE94" s="1767"/>
      <c r="BF94" s="1767"/>
      <c r="BG94" s="1767"/>
      <c r="BH94" s="1767"/>
      <c r="BI94" s="1767"/>
      <c r="BJ94" s="1767"/>
      <c r="BK94" s="1767"/>
      <c r="BL94" s="1767"/>
      <c r="BM94" s="1767"/>
      <c r="BN94" s="1767"/>
      <c r="BO94" s="1767"/>
      <c r="BP94" s="1767"/>
      <c r="BQ94" s="1767"/>
      <c r="BR94" s="1767"/>
      <c r="BS94" s="1767"/>
      <c r="BT94" s="1767"/>
      <c r="BU94" s="1767"/>
      <c r="BV94" s="1767"/>
      <c r="BW94" s="1767"/>
      <c r="BX94" s="1767"/>
      <c r="BY94" s="1767"/>
      <c r="BZ94" s="1767"/>
      <c r="CA94" s="1767"/>
      <c r="CB94" s="1767"/>
      <c r="CC94" s="1767"/>
      <c r="CD94" s="1767"/>
      <c r="CE94" s="1767"/>
      <c r="CF94" s="1767"/>
    </row>
    <row r="95" spans="1:84" ht="45" customHeight="1">
      <c r="A95" s="1726"/>
      <c r="B95" s="1083"/>
      <c r="C95" s="348"/>
      <c r="D95" s="2609"/>
      <c r="E95" s="2599" t="s">
        <v>104</v>
      </c>
      <c r="F95" s="2365" t="s">
        <v>93</v>
      </c>
      <c r="G95" s="2602" t="s">
        <v>703</v>
      </c>
      <c r="H95" s="226"/>
      <c r="I95" s="573" t="s">
        <v>100</v>
      </c>
      <c r="J95" s="1727" t="s">
        <v>648</v>
      </c>
      <c r="K95" s="574" t="s">
        <v>563</v>
      </c>
      <c r="L95" s="2479" t="s">
        <v>563</v>
      </c>
      <c r="M95" s="2415"/>
      <c r="N95" s="574" t="s">
        <v>563</v>
      </c>
      <c r="O95" s="574" t="s">
        <v>563</v>
      </c>
      <c r="P95" s="574" t="s">
        <v>563</v>
      </c>
      <c r="Q95" s="575">
        <f>SUM(Q96:Q98)</f>
        <v>491.65</v>
      </c>
      <c r="R95" s="575">
        <f>IF('Показатели ФХД'!K89=0,0,($Q$95/'Показатели ФХД'!K89)*100)</f>
        <v>0.23749889310009428</v>
      </c>
      <c r="S95" s="2439"/>
      <c r="T95" s="653" t="s">
        <v>646</v>
      </c>
      <c r="U95" s="2609"/>
      <c r="V95" s="2609"/>
      <c r="W95" s="1767"/>
      <c r="X95" s="1767"/>
      <c r="Y95" s="1767"/>
      <c r="Z95" s="1767"/>
      <c r="AA95" s="1767"/>
      <c r="AB95" s="1767"/>
      <c r="AC95" s="2609"/>
      <c r="AD95" s="1767"/>
      <c r="AE95" s="1767"/>
      <c r="AF95" s="1767"/>
      <c r="AG95" s="1767"/>
      <c r="AH95" s="1767"/>
      <c r="AI95" s="1767"/>
      <c r="AJ95" s="1767"/>
      <c r="AK95" s="1767"/>
      <c r="AL95" s="1767"/>
      <c r="AM95" s="1767"/>
      <c r="AN95" s="1767"/>
      <c r="AO95" s="1767"/>
      <c r="AP95" s="1767"/>
      <c r="AQ95" s="1767"/>
      <c r="AR95" s="1767"/>
      <c r="AS95" s="1767"/>
      <c r="AT95" s="1767"/>
      <c r="AU95" s="1767"/>
      <c r="AV95" s="1767"/>
      <c r="AW95" s="1767"/>
      <c r="AX95" s="1767"/>
      <c r="AY95" s="1767"/>
      <c r="AZ95" s="1767"/>
      <c r="BA95" s="1767"/>
      <c r="BB95" s="1767"/>
      <c r="BC95" s="1767"/>
      <c r="BD95" s="1767"/>
      <c r="BE95" s="1767"/>
      <c r="BF95" s="1767"/>
      <c r="BG95" s="1767"/>
      <c r="BH95" s="1767"/>
      <c r="BI95" s="1767"/>
      <c r="BJ95" s="1767"/>
      <c r="BK95" s="1767"/>
      <c r="BL95" s="1767"/>
      <c r="BM95" s="1767"/>
      <c r="BN95" s="1767"/>
      <c r="BO95" s="1767"/>
      <c r="BP95" s="1767"/>
      <c r="BQ95" s="1767"/>
      <c r="BR95" s="1767"/>
      <c r="BS95" s="1767"/>
      <c r="BT95" s="1767"/>
      <c r="BU95" s="1767"/>
      <c r="BV95" s="1767"/>
      <c r="BW95" s="1767"/>
      <c r="BX95" s="1767"/>
      <c r="BY95" s="1767"/>
      <c r="BZ95" s="1767"/>
      <c r="CA95" s="1767"/>
      <c r="CB95" s="1767"/>
      <c r="CC95" s="1767"/>
      <c r="CD95" s="1767"/>
      <c r="CE95" s="1767"/>
      <c r="CF95" s="1767"/>
    </row>
    <row r="96" spans="1:84" ht="11.25" customHeight="1">
      <c r="A96" s="1726"/>
      <c r="B96" s="1083"/>
      <c r="C96" s="348"/>
      <c r="D96" s="2609"/>
      <c r="E96" s="2600"/>
      <c r="F96" s="2365" t="s">
        <v>123</v>
      </c>
      <c r="G96" s="2602"/>
      <c r="H96" s="2371"/>
      <c r="I96" s="2604" t="s">
        <v>649</v>
      </c>
      <c r="J96" s="2605" t="s">
        <v>591</v>
      </c>
      <c r="K96" s="2606" t="s">
        <v>704</v>
      </c>
      <c r="L96" s="576"/>
      <c r="M96" s="577" t="s">
        <v>100</v>
      </c>
      <c r="N96" s="1715" t="s">
        <v>687</v>
      </c>
      <c r="O96" s="578">
        <f>Q96</f>
        <v>491.65</v>
      </c>
      <c r="P96" s="579" t="s">
        <v>569</v>
      </c>
      <c r="Q96" s="578">
        <v>491.65</v>
      </c>
      <c r="R96" s="580">
        <v>0</v>
      </c>
      <c r="S96" s="2439"/>
      <c r="T96" s="653"/>
      <c r="U96" s="2609"/>
      <c r="V96" s="2609"/>
      <c r="W96" s="1767"/>
      <c r="X96" s="1767"/>
      <c r="Y96" s="1767"/>
      <c r="Z96" s="1767"/>
      <c r="AA96" s="1767"/>
      <c r="AB96" s="1767"/>
      <c r="AC96" s="2609"/>
      <c r="AD96" s="1767"/>
      <c r="AE96" s="1767"/>
      <c r="AF96" s="1767"/>
      <c r="AG96" s="1767"/>
      <c r="AH96" s="1767"/>
      <c r="AI96" s="1767"/>
      <c r="AJ96" s="1767"/>
      <c r="AK96" s="1767"/>
      <c r="AL96" s="1767"/>
      <c r="AM96" s="1767"/>
      <c r="AN96" s="1767"/>
      <c r="AO96" s="1767"/>
      <c r="AP96" s="1767"/>
      <c r="AQ96" s="1767"/>
      <c r="AR96" s="1767"/>
      <c r="AS96" s="1767"/>
      <c r="AT96" s="1767"/>
      <c r="AU96" s="1767"/>
      <c r="AV96" s="1767"/>
      <c r="AW96" s="1767"/>
      <c r="AX96" s="1767"/>
      <c r="AY96" s="1767"/>
      <c r="AZ96" s="1767"/>
      <c r="BA96" s="1767"/>
      <c r="BB96" s="1767"/>
      <c r="BC96" s="1767"/>
      <c r="BD96" s="1767"/>
      <c r="BE96" s="1767"/>
      <c r="BF96" s="1767"/>
      <c r="BG96" s="1767"/>
      <c r="BH96" s="1767"/>
      <c r="BI96" s="1767"/>
      <c r="BJ96" s="1767"/>
      <c r="BK96" s="1767"/>
      <c r="BL96" s="1767"/>
      <c r="BM96" s="1767"/>
      <c r="BN96" s="1767"/>
      <c r="BO96" s="1767"/>
      <c r="BP96" s="1767"/>
      <c r="BQ96" s="1767"/>
      <c r="BR96" s="1767"/>
      <c r="BS96" s="1767"/>
      <c r="BT96" s="1767"/>
      <c r="BU96" s="1767"/>
      <c r="BV96" s="1767"/>
      <c r="BW96" s="1767"/>
      <c r="BX96" s="1767"/>
      <c r="BY96" s="1767"/>
      <c r="BZ96" s="1767"/>
      <c r="CA96" s="1767"/>
      <c r="CB96" s="1767"/>
      <c r="CC96" s="1767"/>
      <c r="CD96" s="1767"/>
      <c r="CE96" s="1767"/>
      <c r="CF96" s="1767"/>
    </row>
    <row r="97" spans="1:84" ht="11.25" customHeight="1">
      <c r="A97" s="1726"/>
      <c r="B97" s="1083"/>
      <c r="C97" s="348"/>
      <c r="D97" s="2609"/>
      <c r="E97" s="2600"/>
      <c r="F97" s="2365" t="s">
        <v>123</v>
      </c>
      <c r="G97" s="2602"/>
      <c r="H97" s="2371"/>
      <c r="I97" s="2604"/>
      <c r="J97" s="2605"/>
      <c r="K97" s="2607"/>
      <c r="L97" s="581"/>
      <c r="M97" s="582"/>
      <c r="N97" s="583" t="s">
        <v>652</v>
      </c>
      <c r="O97" s="583"/>
      <c r="P97" s="583"/>
      <c r="Q97" s="583"/>
      <c r="R97" s="584"/>
      <c r="S97" s="2439"/>
      <c r="T97" s="653"/>
      <c r="U97" s="2609"/>
      <c r="V97" s="2609"/>
      <c r="W97" s="1767"/>
      <c r="X97" s="1767"/>
      <c r="Y97" s="1767"/>
      <c r="Z97" s="1767"/>
      <c r="AA97" s="1767"/>
      <c r="AB97" s="1767"/>
      <c r="AC97" s="2609"/>
      <c r="AD97" s="1767"/>
      <c r="AE97" s="1767"/>
      <c r="AF97" s="1767"/>
      <c r="AG97" s="1767"/>
      <c r="AH97" s="1767"/>
      <c r="AI97" s="1767"/>
      <c r="AJ97" s="1767"/>
      <c r="AK97" s="1767"/>
      <c r="AL97" s="1767"/>
      <c r="AM97" s="1767"/>
      <c r="AN97" s="1767"/>
      <c r="AO97" s="1767"/>
      <c r="AP97" s="1767"/>
      <c r="AQ97" s="1767"/>
      <c r="AR97" s="1767"/>
      <c r="AS97" s="1767"/>
      <c r="AT97" s="1767"/>
      <c r="AU97" s="1767"/>
      <c r="AV97" s="1767"/>
      <c r="AW97" s="1767"/>
      <c r="AX97" s="1767"/>
      <c r="AY97" s="1767"/>
      <c r="AZ97" s="1767"/>
      <c r="BA97" s="1767"/>
      <c r="BB97" s="1767"/>
      <c r="BC97" s="1767"/>
      <c r="BD97" s="1767"/>
      <c r="BE97" s="1767"/>
      <c r="BF97" s="1767"/>
      <c r="BG97" s="1767"/>
      <c r="BH97" s="1767"/>
      <c r="BI97" s="1767"/>
      <c r="BJ97" s="1767"/>
      <c r="BK97" s="1767"/>
      <c r="BL97" s="1767"/>
      <c r="BM97" s="1767"/>
      <c r="BN97" s="1767"/>
      <c r="BO97" s="1767"/>
      <c r="BP97" s="1767"/>
      <c r="BQ97" s="1767"/>
      <c r="BR97" s="1767"/>
      <c r="BS97" s="1767"/>
      <c r="BT97" s="1767"/>
      <c r="BU97" s="1767"/>
      <c r="BV97" s="1767"/>
      <c r="BW97" s="1767"/>
      <c r="BX97" s="1767"/>
      <c r="BY97" s="1767"/>
      <c r="BZ97" s="1767"/>
      <c r="CA97" s="1767"/>
      <c r="CB97" s="1767"/>
      <c r="CC97" s="1767"/>
      <c r="CD97" s="1767"/>
      <c r="CE97" s="1767"/>
      <c r="CF97" s="1767"/>
    </row>
    <row r="98" spans="1:84" ht="11.25" customHeight="1">
      <c r="A98" s="1726"/>
      <c r="B98" s="1083"/>
      <c r="C98" s="348"/>
      <c r="D98" s="2609"/>
      <c r="E98" s="2601"/>
      <c r="F98" s="2365" t="s">
        <v>123</v>
      </c>
      <c r="G98" s="2603"/>
      <c r="H98" s="581" t="s">
        <v>22</v>
      </c>
      <c r="I98" s="582"/>
      <c r="J98" s="583" t="s">
        <v>656</v>
      </c>
      <c r="K98" s="583"/>
      <c r="L98" s="583"/>
      <c r="M98" s="583"/>
      <c r="N98" s="583"/>
      <c r="O98" s="583"/>
      <c r="P98" s="583"/>
      <c r="Q98" s="583"/>
      <c r="R98" s="584"/>
      <c r="S98" s="2439"/>
      <c r="T98" s="653"/>
      <c r="U98" s="2609"/>
      <c r="V98" s="2609"/>
      <c r="W98" s="1767"/>
      <c r="X98" s="1767"/>
      <c r="Y98" s="1767"/>
      <c r="Z98" s="1767"/>
      <c r="AA98" s="1767"/>
      <c r="AB98" s="1767"/>
      <c r="AC98" s="2609"/>
      <c r="AD98" s="1767"/>
      <c r="AE98" s="1767"/>
      <c r="AF98" s="1767"/>
      <c r="AG98" s="1767"/>
      <c r="AH98" s="1767"/>
      <c r="AI98" s="1767"/>
      <c r="AJ98" s="1767"/>
      <c r="AK98" s="1767"/>
      <c r="AL98" s="1767"/>
      <c r="AM98" s="1767"/>
      <c r="AN98" s="1767"/>
      <c r="AO98" s="1767"/>
      <c r="AP98" s="1767"/>
      <c r="AQ98" s="1767"/>
      <c r="AR98" s="1767"/>
      <c r="AS98" s="1767"/>
      <c r="AT98" s="1767"/>
      <c r="AU98" s="1767"/>
      <c r="AV98" s="1767"/>
      <c r="AW98" s="1767"/>
      <c r="AX98" s="1767"/>
      <c r="AY98" s="1767"/>
      <c r="AZ98" s="1767"/>
      <c r="BA98" s="1767"/>
      <c r="BB98" s="1767"/>
      <c r="BC98" s="1767"/>
      <c r="BD98" s="1767"/>
      <c r="BE98" s="1767"/>
      <c r="BF98" s="1767"/>
      <c r="BG98" s="1767"/>
      <c r="BH98" s="1767"/>
      <c r="BI98" s="1767"/>
      <c r="BJ98" s="1767"/>
      <c r="BK98" s="1767"/>
      <c r="BL98" s="1767"/>
      <c r="BM98" s="1767"/>
      <c r="BN98" s="1767"/>
      <c r="BO98" s="1767"/>
      <c r="BP98" s="1767"/>
      <c r="BQ98" s="1767"/>
      <c r="BR98" s="1767"/>
      <c r="BS98" s="1767"/>
      <c r="BT98" s="1767"/>
      <c r="BU98" s="1767"/>
      <c r="BV98" s="1767"/>
      <c r="BW98" s="1767"/>
      <c r="BX98" s="1767"/>
      <c r="BY98" s="1767"/>
      <c r="BZ98" s="1767"/>
      <c r="CA98" s="1767"/>
      <c r="CB98" s="1767"/>
      <c r="CC98" s="1767"/>
      <c r="CD98" s="1767"/>
      <c r="CE98" s="1767"/>
      <c r="CF98" s="1767"/>
    </row>
    <row r="99" spans="1:84" ht="11.25" customHeight="1">
      <c r="A99" s="1726"/>
      <c r="B99" s="1083"/>
      <c r="C99" s="348"/>
      <c r="D99" s="2611"/>
      <c r="E99" s="585" t="s">
        <v>22</v>
      </c>
      <c r="F99" s="1091" t="s">
        <v>22</v>
      </c>
      <c r="G99" s="1091" t="s">
        <v>681</v>
      </c>
      <c r="H99" s="587" t="s">
        <v>22</v>
      </c>
      <c r="I99" s="587"/>
      <c r="J99" s="587"/>
      <c r="K99" s="587"/>
      <c r="L99" s="587"/>
      <c r="M99" s="587"/>
      <c r="N99" s="587"/>
      <c r="O99" s="587"/>
      <c r="P99" s="587"/>
      <c r="Q99" s="587"/>
      <c r="R99" s="588"/>
      <c r="S99" s="589"/>
      <c r="T99" s="654"/>
      <c r="U99" s="2505"/>
      <c r="V99" s="2505"/>
      <c r="W99" s="1083"/>
      <c r="X99" s="1083"/>
      <c r="Y99" s="1083"/>
      <c r="Z99" s="1083"/>
      <c r="AA99" s="1559"/>
      <c r="AB99" s="1083"/>
      <c r="AC99" s="2617"/>
      <c r="AD99" s="565"/>
      <c r="AE99" s="1083"/>
      <c r="AF99" s="1083"/>
      <c r="AG99" s="1559"/>
      <c r="AH99" s="1559"/>
      <c r="AI99" s="1559"/>
      <c r="AJ99" s="1559"/>
      <c r="AK99" s="1559"/>
      <c r="AL99" s="1559"/>
      <c r="AM99" s="1559"/>
      <c r="AN99" s="1559"/>
      <c r="AO99" s="1559"/>
      <c r="AP99" s="1559"/>
      <c r="AQ99" s="1559"/>
      <c r="AR99" s="1559"/>
      <c r="AS99" s="1559"/>
      <c r="AT99" s="1559"/>
      <c r="AU99" s="1559"/>
      <c r="AV99" s="1559"/>
      <c r="AW99" s="1559"/>
      <c r="AX99" s="1559"/>
      <c r="AY99" s="1559"/>
      <c r="AZ99" s="1559"/>
      <c r="BA99" s="1559"/>
      <c r="BB99" s="1559"/>
      <c r="BC99" s="1559"/>
      <c r="BD99" s="1559"/>
      <c r="BE99" s="1559"/>
      <c r="BF99" s="1559"/>
      <c r="BG99" s="1559"/>
      <c r="BH99" s="1559"/>
      <c r="BI99" s="1559"/>
      <c r="BJ99" s="1559"/>
      <c r="BK99" s="1559"/>
      <c r="BL99" s="1559"/>
      <c r="BM99" s="1559"/>
      <c r="BN99" s="1559"/>
      <c r="BO99" s="1559"/>
      <c r="BP99" s="1559"/>
      <c r="BQ99" s="1559"/>
      <c r="BR99" s="1559"/>
      <c r="BS99" s="1559"/>
      <c r="BT99" s="1559"/>
      <c r="BU99" s="1559"/>
      <c r="BV99" s="1083"/>
      <c r="BW99" s="1083"/>
      <c r="BX99" s="1083"/>
      <c r="BY99" s="1083"/>
      <c r="BZ99" s="1083"/>
      <c r="CA99" s="1083"/>
      <c r="CB99" s="1083"/>
      <c r="CC99" s="1083"/>
      <c r="CD99" s="1083"/>
      <c r="CE99" s="1083"/>
      <c r="CF99" s="1767"/>
    </row>
    <row r="100" spans="1:84" ht="5.25" hidden="1" customHeight="1">
      <c r="A100" s="1713"/>
      <c r="B100" s="1559"/>
      <c r="C100" s="1559"/>
      <c r="D100" s="2611"/>
      <c r="E100" s="966"/>
      <c r="F100" s="966"/>
      <c r="G100" s="966"/>
      <c r="H100" s="966"/>
      <c r="I100" s="966"/>
      <c r="J100" s="966"/>
      <c r="K100" s="966"/>
      <c r="L100" s="966"/>
      <c r="M100" s="966"/>
      <c r="N100" s="966"/>
      <c r="O100" s="966"/>
      <c r="P100" s="966"/>
      <c r="Q100" s="967"/>
      <c r="R100" s="968"/>
      <c r="S100" s="969"/>
      <c r="T100" s="653" t="s">
        <v>646</v>
      </c>
      <c r="U100" s="2505">
        <v>1</v>
      </c>
      <c r="V100" s="2505" t="s">
        <v>600</v>
      </c>
      <c r="W100" s="1559"/>
      <c r="X100" s="1559"/>
      <c r="Y100" s="1559"/>
      <c r="Z100" s="1559"/>
      <c r="AA100" s="1559"/>
      <c r="AB100" s="1559"/>
      <c r="AC100" s="964"/>
      <c r="AD100" s="965"/>
      <c r="AE100" s="1559"/>
      <c r="AF100" s="1559"/>
      <c r="AG100" s="1559"/>
      <c r="AH100" s="1559"/>
      <c r="AI100" s="1559"/>
      <c r="AJ100" s="1559"/>
      <c r="AK100" s="1559"/>
      <c r="AL100" s="1559"/>
      <c r="AM100" s="1559"/>
      <c r="AN100" s="1559"/>
      <c r="AO100" s="1559"/>
      <c r="AP100" s="1559"/>
      <c r="AQ100" s="1559"/>
      <c r="AR100" s="1559"/>
      <c r="AS100" s="1559"/>
      <c r="AT100" s="1559"/>
      <c r="AU100" s="1559"/>
      <c r="AV100" s="1559"/>
      <c r="AW100" s="1559"/>
      <c r="AX100" s="1559"/>
      <c r="AY100" s="1559"/>
      <c r="AZ100" s="1559"/>
      <c r="BA100" s="1559"/>
      <c r="BB100" s="1559"/>
      <c r="BC100" s="1559"/>
      <c r="BD100" s="1559"/>
      <c r="BE100" s="1559"/>
      <c r="BF100" s="1559"/>
      <c r="BG100" s="1559"/>
      <c r="BH100" s="1559"/>
      <c r="BI100" s="1559"/>
      <c r="BJ100" s="1559"/>
      <c r="BK100" s="1559"/>
      <c r="BL100" s="1559"/>
      <c r="BM100" s="1559"/>
      <c r="BN100" s="1559"/>
      <c r="BO100" s="1559"/>
      <c r="BP100" s="1559"/>
      <c r="BQ100" s="1559"/>
      <c r="BR100" s="1559"/>
      <c r="BS100" s="1559"/>
      <c r="BT100" s="1559"/>
      <c r="BU100" s="1559"/>
      <c r="BV100" s="1559"/>
      <c r="BW100" s="1559"/>
      <c r="BX100" s="1559"/>
      <c r="BY100" s="1559"/>
      <c r="BZ100" s="1559"/>
      <c r="CA100" s="1559"/>
      <c r="CB100" s="1559"/>
      <c r="CC100" s="1559"/>
      <c r="CD100" s="1559"/>
      <c r="CE100" s="1559"/>
      <c r="CF100" s="1239"/>
    </row>
    <row r="101" spans="1:84" ht="5.25" hidden="1" customHeight="1">
      <c r="A101" s="1713"/>
      <c r="B101" s="1559"/>
      <c r="C101" s="1559"/>
      <c r="D101" s="2611"/>
      <c r="E101" s="571"/>
      <c r="F101" s="571"/>
      <c r="G101" s="571"/>
      <c r="H101" s="571"/>
      <c r="I101" s="571"/>
      <c r="J101" s="571"/>
      <c r="K101" s="571"/>
      <c r="L101" s="571"/>
      <c r="M101" s="571"/>
      <c r="N101" s="571"/>
      <c r="O101" s="571"/>
      <c r="P101" s="571"/>
      <c r="Q101" s="571"/>
      <c r="R101" s="571"/>
      <c r="S101" s="572"/>
      <c r="T101" s="654"/>
      <c r="U101" s="2505"/>
      <c r="V101" s="2505"/>
      <c r="W101" s="1559"/>
      <c r="X101" s="1559"/>
      <c r="Y101" s="1559"/>
      <c r="Z101" s="1559"/>
      <c r="AA101" s="1559"/>
      <c r="AB101" s="1559"/>
      <c r="AC101" s="964"/>
      <c r="AD101" s="965"/>
      <c r="AE101" s="1559"/>
      <c r="AF101" s="1559"/>
      <c r="AG101" s="1559"/>
      <c r="AH101" s="1559"/>
      <c r="AI101" s="1559"/>
      <c r="AJ101" s="1559"/>
      <c r="AK101" s="1559"/>
      <c r="AL101" s="1559"/>
      <c r="AM101" s="1559"/>
      <c r="AN101" s="1559"/>
      <c r="AO101" s="1559"/>
      <c r="AP101" s="1559"/>
      <c r="AQ101" s="1559"/>
      <c r="AR101" s="1559"/>
      <c r="AS101" s="1559"/>
      <c r="AT101" s="1559"/>
      <c r="AU101" s="1559"/>
      <c r="AV101" s="1559"/>
      <c r="AW101" s="1559"/>
      <c r="AX101" s="1559"/>
      <c r="AY101" s="1559"/>
      <c r="AZ101" s="1559"/>
      <c r="BA101" s="1559"/>
      <c r="BB101" s="1559"/>
      <c r="BC101" s="1559"/>
      <c r="BD101" s="1559"/>
      <c r="BE101" s="1559"/>
      <c r="BF101" s="1559"/>
      <c r="BG101" s="1559"/>
      <c r="BH101" s="1559"/>
      <c r="BI101" s="1559"/>
      <c r="BJ101" s="1559"/>
      <c r="BK101" s="1559"/>
      <c r="BL101" s="1559"/>
      <c r="BM101" s="1559"/>
      <c r="BN101" s="1559"/>
      <c r="BO101" s="1559"/>
      <c r="BP101" s="1559"/>
      <c r="BQ101" s="1559"/>
      <c r="BR101" s="1559"/>
      <c r="BS101" s="1559"/>
      <c r="BT101" s="1559"/>
      <c r="BU101" s="1559"/>
      <c r="BV101" s="1559"/>
      <c r="BW101" s="1559"/>
      <c r="BX101" s="1559"/>
      <c r="BY101" s="1559"/>
      <c r="BZ101" s="1559"/>
      <c r="CA101" s="1559"/>
      <c r="CB101" s="1559"/>
      <c r="CC101" s="1559"/>
      <c r="CD101" s="1559"/>
      <c r="CE101" s="1559"/>
      <c r="CF101" s="1239"/>
    </row>
    <row r="102" spans="1:84" ht="5.25" hidden="1" customHeight="1">
      <c r="A102" s="1713"/>
      <c r="B102" s="1559"/>
      <c r="C102" s="1559"/>
      <c r="D102" s="2612"/>
      <c r="E102" s="970"/>
      <c r="F102" s="971"/>
      <c r="G102" s="971" t="s">
        <v>22</v>
      </c>
      <c r="H102" s="972"/>
      <c r="I102" s="972"/>
      <c r="J102" s="972"/>
      <c r="K102" s="972"/>
      <c r="L102" s="972"/>
      <c r="M102" s="972"/>
      <c r="N102" s="972"/>
      <c r="O102" s="972"/>
      <c r="P102" s="972"/>
      <c r="Q102" s="972"/>
      <c r="R102" s="874"/>
      <c r="S102" s="973"/>
      <c r="T102" s="654"/>
      <c r="U102" s="2505"/>
      <c r="V102" s="2505"/>
      <c r="W102" s="1559"/>
      <c r="X102" s="1559"/>
      <c r="Y102" s="1559"/>
      <c r="Z102" s="1559"/>
      <c r="AA102" s="1559"/>
      <c r="AB102" s="1559"/>
      <c r="AC102" s="964"/>
      <c r="AD102" s="965"/>
      <c r="AE102" s="1559"/>
      <c r="AF102" s="1559"/>
      <c r="AG102" s="1559"/>
      <c r="AH102" s="1559"/>
      <c r="AI102" s="1559"/>
      <c r="AJ102" s="1559"/>
      <c r="AK102" s="1559"/>
      <c r="AL102" s="1559"/>
      <c r="AM102" s="1559"/>
      <c r="AN102" s="1559"/>
      <c r="AO102" s="1559"/>
      <c r="AP102" s="1559"/>
      <c r="AQ102" s="1559"/>
      <c r="AR102" s="1559"/>
      <c r="AS102" s="1559"/>
      <c r="AT102" s="1559"/>
      <c r="AU102" s="1559"/>
      <c r="AV102" s="1559"/>
      <c r="AW102" s="1559"/>
      <c r="AX102" s="1559"/>
      <c r="AY102" s="1559"/>
      <c r="AZ102" s="1559"/>
      <c r="BA102" s="1559"/>
      <c r="BB102" s="1559"/>
      <c r="BC102" s="1559"/>
      <c r="BD102" s="1559"/>
      <c r="BE102" s="1559"/>
      <c r="BF102" s="1559"/>
      <c r="BG102" s="1559"/>
      <c r="BH102" s="1559"/>
      <c r="BI102" s="1559"/>
      <c r="BJ102" s="1559"/>
      <c r="BK102" s="1559"/>
      <c r="BL102" s="1559"/>
      <c r="BM102" s="1559"/>
      <c r="BN102" s="1559"/>
      <c r="BO102" s="1559"/>
      <c r="BP102" s="1559"/>
      <c r="BQ102" s="1559"/>
      <c r="BR102" s="1559"/>
      <c r="BS102" s="1559"/>
      <c r="BT102" s="1559"/>
      <c r="BU102" s="1559"/>
      <c r="BV102" s="1559"/>
      <c r="BW102" s="1559"/>
      <c r="BX102" s="1559"/>
      <c r="BY102" s="1559"/>
      <c r="BZ102" s="1559"/>
      <c r="CA102" s="1559"/>
      <c r="CB102" s="1559"/>
      <c r="CC102" s="1559"/>
      <c r="CD102" s="1559"/>
      <c r="CE102" s="1559"/>
      <c r="CF102" s="1239"/>
    </row>
    <row r="103" spans="1:84" ht="15" hidden="1" customHeight="1">
      <c r="A103" s="559" t="s">
        <v>140</v>
      </c>
      <c r="B103" s="560"/>
      <c r="C103" s="560" t="s">
        <v>22</v>
      </c>
      <c r="D103" s="2610" t="s">
        <v>705</v>
      </c>
      <c r="E103" s="2613" t="s">
        <v>119</v>
      </c>
      <c r="F103" s="2614"/>
      <c r="G103" s="2615"/>
      <c r="H103" s="2616" t="str">
        <f>IF(A103="","",INDEX(DIFFERENTIATION_UNMERGE_VD,MATCH(A103,DIFFERENTIATION_ID_DIFF,0)))</f>
        <v>Производство. Теплоноситель; Сбыт. Теплоноситель</v>
      </c>
      <c r="I103" s="2616"/>
      <c r="J103" s="2616"/>
      <c r="K103" s="2616"/>
      <c r="L103" s="2616"/>
      <c r="M103" s="2616"/>
      <c r="N103" s="2616"/>
      <c r="O103" s="2616"/>
      <c r="P103" s="2616"/>
      <c r="Q103" s="2616"/>
      <c r="R103" s="2616"/>
      <c r="S103" s="655"/>
      <c r="T103" s="652"/>
      <c r="U103" s="561"/>
      <c r="V103" s="561"/>
      <c r="W103" s="562"/>
      <c r="X103" s="562"/>
      <c r="Y103" s="562"/>
      <c r="Z103" s="562"/>
      <c r="AA103" s="563"/>
      <c r="AB103" s="564"/>
      <c r="AC103" s="2617"/>
      <c r="AD103" s="565"/>
      <c r="AE103" s="566" t="s">
        <v>22</v>
      </c>
      <c r="AF103" s="566"/>
      <c r="AG103" s="567" t="s">
        <v>643</v>
      </c>
      <c r="AH103" s="568">
        <v>3</v>
      </c>
      <c r="AI103" s="561"/>
      <c r="AJ103" s="561"/>
      <c r="AK103" s="561"/>
      <c r="AL103" s="561"/>
      <c r="AM103" s="561"/>
      <c r="AN103" s="561"/>
      <c r="AO103" s="561"/>
      <c r="AP103" s="561"/>
      <c r="AQ103" s="561"/>
      <c r="AR103" s="561"/>
      <c r="AS103" s="561"/>
      <c r="AT103" s="561"/>
      <c r="AU103" s="561"/>
      <c r="AV103" s="561"/>
      <c r="AW103" s="561"/>
      <c r="AX103" s="561"/>
      <c r="AY103" s="561"/>
      <c r="AZ103" s="561"/>
      <c r="BA103" s="561"/>
      <c r="BB103" s="561"/>
      <c r="BC103" s="561"/>
      <c r="BD103" s="561"/>
      <c r="BE103" s="561"/>
      <c r="BF103" s="561"/>
      <c r="BG103" s="561"/>
      <c r="BH103" s="561"/>
      <c r="BI103" s="561"/>
      <c r="BJ103" s="561"/>
      <c r="BK103" s="561"/>
      <c r="BL103" s="561"/>
      <c r="BM103" s="561"/>
      <c r="BN103" s="561"/>
      <c r="BO103" s="561"/>
      <c r="BP103" s="561"/>
      <c r="BQ103" s="561"/>
      <c r="BR103" s="561"/>
      <c r="BS103" s="561"/>
      <c r="BT103" s="561"/>
      <c r="BU103" s="561"/>
      <c r="BV103" s="562"/>
      <c r="BW103" s="562"/>
      <c r="BX103" s="562"/>
      <c r="BY103" s="562"/>
      <c r="BZ103" s="562"/>
      <c r="CA103" s="562"/>
      <c r="CB103" s="562"/>
      <c r="CC103" s="562"/>
      <c r="CD103" s="562"/>
      <c r="CE103" s="562"/>
      <c r="CF103" s="1767"/>
    </row>
    <row r="104" spans="1:84" ht="15" hidden="1" customHeight="1">
      <c r="A104" s="559"/>
      <c r="B104" s="560"/>
      <c r="C104" s="560"/>
      <c r="D104" s="2611"/>
      <c r="E104" s="2613" t="s">
        <v>581</v>
      </c>
      <c r="F104" s="2614"/>
      <c r="G104" s="2615"/>
      <c r="H104" s="2616" t="str">
        <f>IF(A103="","",INDEX(DIFFERENTIATION_UNMERGE_AREA,MATCH(A103,DIFFERENTIATION_ID_DIFF,0)))</f>
        <v>Территория 2</v>
      </c>
      <c r="I104" s="2616"/>
      <c r="J104" s="2616"/>
      <c r="K104" s="2616"/>
      <c r="L104" s="2616"/>
      <c r="M104" s="2616"/>
      <c r="N104" s="2616"/>
      <c r="O104" s="2616"/>
      <c r="P104" s="2616"/>
      <c r="Q104" s="2616"/>
      <c r="R104" s="2616"/>
      <c r="S104" s="655"/>
      <c r="T104" s="652"/>
      <c r="U104" s="561"/>
      <c r="V104" s="561"/>
      <c r="W104" s="562"/>
      <c r="X104" s="562"/>
      <c r="Y104" s="562"/>
      <c r="Z104" s="562"/>
      <c r="AA104" s="563"/>
      <c r="AB104" s="564"/>
      <c r="AC104" s="2617"/>
      <c r="AD104" s="565"/>
      <c r="AE104" s="566"/>
      <c r="AF104" s="566"/>
      <c r="AG104" s="567"/>
      <c r="AH104" s="568"/>
      <c r="AI104" s="561"/>
      <c r="AJ104" s="561"/>
      <c r="AK104" s="561"/>
      <c r="AL104" s="561"/>
      <c r="AM104" s="561"/>
      <c r="AN104" s="561"/>
      <c r="AO104" s="561"/>
      <c r="AP104" s="561"/>
      <c r="AQ104" s="561"/>
      <c r="AR104" s="561"/>
      <c r="AS104" s="561"/>
      <c r="AT104" s="561"/>
      <c r="AU104" s="561"/>
      <c r="AV104" s="561"/>
      <c r="AW104" s="561"/>
      <c r="AX104" s="561"/>
      <c r="AY104" s="561"/>
      <c r="AZ104" s="561"/>
      <c r="BA104" s="561"/>
      <c r="BB104" s="561"/>
      <c r="BC104" s="561"/>
      <c r="BD104" s="561"/>
      <c r="BE104" s="561"/>
      <c r="BF104" s="561"/>
      <c r="BG104" s="561"/>
      <c r="BH104" s="561"/>
      <c r="BI104" s="561"/>
      <c r="BJ104" s="561"/>
      <c r="BK104" s="561"/>
      <c r="BL104" s="561"/>
      <c r="BM104" s="561"/>
      <c r="BN104" s="561"/>
      <c r="BO104" s="561"/>
      <c r="BP104" s="561"/>
      <c r="BQ104" s="561"/>
      <c r="BR104" s="561"/>
      <c r="BS104" s="561"/>
      <c r="BT104" s="561"/>
      <c r="BU104" s="561"/>
      <c r="BV104" s="562"/>
      <c r="BW104" s="562"/>
      <c r="BX104" s="562"/>
      <c r="BY104" s="562"/>
      <c r="BZ104" s="562"/>
      <c r="CA104" s="562"/>
      <c r="CB104" s="562"/>
      <c r="CC104" s="562"/>
      <c r="CD104" s="562"/>
      <c r="CE104" s="562"/>
      <c r="CF104" s="1767"/>
    </row>
    <row r="105" spans="1:84" ht="15" hidden="1" customHeight="1">
      <c r="A105" s="559"/>
      <c r="B105" s="560"/>
      <c r="C105" s="560"/>
      <c r="D105" s="2611"/>
      <c r="E105" s="2613" t="s">
        <v>582</v>
      </c>
      <c r="F105" s="2614"/>
      <c r="G105" s="2615"/>
      <c r="H105" s="2616" t="str">
        <f>IF(A103="","",INDEX(DIFFERENTIATION_UNMERGE_SYSTEM,MATCH(A103,DIFFERENTIATION_ID_DIFF,0)))</f>
        <v>без дифференциации</v>
      </c>
      <c r="I105" s="2616"/>
      <c r="J105" s="2616"/>
      <c r="K105" s="2616"/>
      <c r="L105" s="2616"/>
      <c r="M105" s="2616"/>
      <c r="N105" s="2616"/>
      <c r="O105" s="2616"/>
      <c r="P105" s="2616"/>
      <c r="Q105" s="2616"/>
      <c r="R105" s="2616"/>
      <c r="S105" s="655"/>
      <c r="T105" s="652"/>
      <c r="U105" s="561"/>
      <c r="V105" s="561"/>
      <c r="W105" s="562"/>
      <c r="X105" s="562"/>
      <c r="Y105" s="562"/>
      <c r="Z105" s="562"/>
      <c r="AA105" s="563"/>
      <c r="AB105" s="564"/>
      <c r="AC105" s="2617"/>
      <c r="AD105" s="565"/>
      <c r="AE105" s="566"/>
      <c r="AF105" s="566"/>
      <c r="AG105" s="567"/>
      <c r="AH105" s="568"/>
      <c r="AI105" s="561"/>
      <c r="AJ105" s="561"/>
      <c r="AK105" s="561"/>
      <c r="AL105" s="561"/>
      <c r="AM105" s="561"/>
      <c r="AN105" s="561"/>
      <c r="AO105" s="561"/>
      <c r="AP105" s="561"/>
      <c r="AQ105" s="561"/>
      <c r="AR105" s="561"/>
      <c r="AS105" s="561"/>
      <c r="AT105" s="561"/>
      <c r="AU105" s="561"/>
      <c r="AV105" s="561"/>
      <c r="AW105" s="561"/>
      <c r="AX105" s="561"/>
      <c r="AY105" s="561"/>
      <c r="AZ105" s="561"/>
      <c r="BA105" s="561"/>
      <c r="BB105" s="561"/>
      <c r="BC105" s="561"/>
      <c r="BD105" s="561"/>
      <c r="BE105" s="561"/>
      <c r="BF105" s="561"/>
      <c r="BG105" s="561"/>
      <c r="BH105" s="561"/>
      <c r="BI105" s="561"/>
      <c r="BJ105" s="561"/>
      <c r="BK105" s="561"/>
      <c r="BL105" s="561"/>
      <c r="BM105" s="561"/>
      <c r="BN105" s="561"/>
      <c r="BO105" s="561"/>
      <c r="BP105" s="561"/>
      <c r="BQ105" s="561"/>
      <c r="BR105" s="561"/>
      <c r="BS105" s="561"/>
      <c r="BT105" s="561"/>
      <c r="BU105" s="561"/>
      <c r="BV105" s="562"/>
      <c r="BW105" s="562"/>
      <c r="BX105" s="562"/>
      <c r="BY105" s="562"/>
      <c r="BZ105" s="562"/>
      <c r="CA105" s="562"/>
      <c r="CB105" s="562"/>
      <c r="CC105" s="562"/>
      <c r="CD105" s="562"/>
      <c r="CE105" s="562"/>
      <c r="CF105" s="1767"/>
    </row>
    <row r="106" spans="1:84" ht="24.75" hidden="1" customHeight="1">
      <c r="A106" s="1726"/>
      <c r="B106" s="1083"/>
      <c r="C106" s="348"/>
      <c r="D106" s="2611"/>
      <c r="E106" s="2618" t="s">
        <v>644</v>
      </c>
      <c r="F106" s="2618"/>
      <c r="G106" s="2618"/>
      <c r="H106" s="2618"/>
      <c r="I106" s="2618"/>
      <c r="J106" s="2618"/>
      <c r="K106" s="2618"/>
      <c r="L106" s="2618"/>
      <c r="M106" s="2618"/>
      <c r="N106" s="2618"/>
      <c r="O106" s="2618"/>
      <c r="P106" s="2618"/>
      <c r="Q106" s="494">
        <f>SUMIF(T107:T108,"i",Q107:Q108)</f>
        <v>0</v>
      </c>
      <c r="R106" s="944"/>
      <c r="S106" s="1718" t="s">
        <v>645</v>
      </c>
      <c r="T106" s="653" t="s">
        <v>646</v>
      </c>
      <c r="U106" s="2505">
        <v>1</v>
      </c>
      <c r="V106" s="2505" t="str">
        <f>INDEX(B_FHD_FLAG_INDEX_1,1,MATCH(A103,B_FHD_FLAG_DIFFERENTIATION,0))</f>
        <v>отсутствует</v>
      </c>
      <c r="W106" s="1083"/>
      <c r="X106" s="1083"/>
      <c r="Y106" s="1083"/>
      <c r="Z106" s="1083"/>
      <c r="AA106" s="1559"/>
      <c r="AB106" s="1083"/>
      <c r="AC106" s="2617"/>
      <c r="AD106" s="565"/>
      <c r="AE106" s="1083"/>
      <c r="AF106" s="1083"/>
      <c r="AG106" s="1559"/>
      <c r="AH106" s="1559"/>
      <c r="AI106" s="1559"/>
      <c r="AJ106" s="1559"/>
      <c r="AK106" s="1559"/>
      <c r="AL106" s="1559"/>
      <c r="AM106" s="1559"/>
      <c r="AN106" s="1559"/>
      <c r="AO106" s="1559"/>
      <c r="AP106" s="1559"/>
      <c r="AQ106" s="1559"/>
      <c r="AR106" s="1559"/>
      <c r="AS106" s="1559"/>
      <c r="AT106" s="1559"/>
      <c r="AU106" s="1559"/>
      <c r="AV106" s="1559"/>
      <c r="AW106" s="1559"/>
      <c r="AX106" s="1559"/>
      <c r="AY106" s="1559"/>
      <c r="AZ106" s="1559"/>
      <c r="BA106" s="1559"/>
      <c r="BB106" s="1559"/>
      <c r="BC106" s="1559"/>
      <c r="BD106" s="1559"/>
      <c r="BE106" s="1559"/>
      <c r="BF106" s="1559"/>
      <c r="BG106" s="1559"/>
      <c r="BH106" s="1559"/>
      <c r="BI106" s="1559"/>
      <c r="BJ106" s="1559"/>
      <c r="BK106" s="1559"/>
      <c r="BL106" s="1559"/>
      <c r="BM106" s="1559"/>
      <c r="BN106" s="1559"/>
      <c r="BO106" s="1559"/>
      <c r="BP106" s="1559"/>
      <c r="BQ106" s="1559"/>
      <c r="BR106" s="1559"/>
      <c r="BS106" s="1559"/>
      <c r="BT106" s="1559"/>
      <c r="BU106" s="1559"/>
      <c r="BV106" s="1083"/>
      <c r="BW106" s="1083"/>
      <c r="BX106" s="1083"/>
      <c r="BY106" s="1083"/>
      <c r="BZ106" s="1083"/>
      <c r="CA106" s="1083"/>
      <c r="CB106" s="1083"/>
      <c r="CC106" s="1083"/>
      <c r="CD106" s="1083"/>
      <c r="CE106" s="1083"/>
      <c r="CF106" s="1767"/>
    </row>
    <row r="107" spans="1:84" ht="11.25" hidden="1" customHeight="1">
      <c r="A107" s="1713"/>
      <c r="B107" s="1559"/>
      <c r="C107" s="1559"/>
      <c r="D107" s="2611"/>
      <c r="E107" s="571"/>
      <c r="F107" s="571">
        <v>0</v>
      </c>
      <c r="G107" s="571"/>
      <c r="H107" s="571"/>
      <c r="I107" s="571"/>
      <c r="J107" s="571"/>
      <c r="K107" s="571"/>
      <c r="L107" s="571"/>
      <c r="M107" s="571"/>
      <c r="N107" s="571"/>
      <c r="O107" s="571"/>
      <c r="P107" s="571"/>
      <c r="Q107" s="571"/>
      <c r="R107" s="571"/>
      <c r="S107" s="572"/>
      <c r="T107" s="654"/>
      <c r="U107" s="2505"/>
      <c r="V107" s="2505"/>
      <c r="W107" s="1559"/>
      <c r="X107" s="1559"/>
      <c r="Y107" s="1559"/>
      <c r="Z107" s="1559"/>
      <c r="AA107" s="1559"/>
      <c r="AB107" s="1083"/>
      <c r="AC107" s="2617"/>
      <c r="AD107" s="565"/>
      <c r="AE107" s="1083"/>
      <c r="AF107" s="1083"/>
      <c r="AG107" s="1559"/>
      <c r="AH107" s="1559"/>
      <c r="AI107" s="1559"/>
      <c r="AJ107" s="1559"/>
      <c r="AK107" s="1559"/>
      <c r="AL107" s="1559"/>
      <c r="AM107" s="1559"/>
      <c r="AN107" s="1559"/>
      <c r="AO107" s="1559"/>
      <c r="AP107" s="1559"/>
      <c r="AQ107" s="1559"/>
      <c r="AR107" s="1559"/>
      <c r="AS107" s="1559"/>
      <c r="AT107" s="1559"/>
      <c r="AU107" s="1559"/>
      <c r="AV107" s="1559"/>
      <c r="AW107" s="1559"/>
      <c r="AX107" s="1559"/>
      <c r="AY107" s="1559"/>
      <c r="AZ107" s="1559"/>
      <c r="BA107" s="1559"/>
      <c r="BB107" s="1559"/>
      <c r="BC107" s="1559"/>
      <c r="BD107" s="1559"/>
      <c r="BE107" s="1559"/>
      <c r="BF107" s="1559"/>
      <c r="BG107" s="1559"/>
      <c r="BH107" s="1559"/>
      <c r="BI107" s="1559"/>
      <c r="BJ107" s="1559"/>
      <c r="BK107" s="1559"/>
      <c r="BL107" s="1559"/>
      <c r="BM107" s="1559"/>
      <c r="BN107" s="1559"/>
      <c r="BO107" s="1559"/>
      <c r="BP107" s="1559"/>
      <c r="BQ107" s="1559"/>
      <c r="BR107" s="1559"/>
      <c r="BS107" s="1559"/>
      <c r="BT107" s="1559"/>
      <c r="BU107" s="1559"/>
      <c r="BV107" s="1559"/>
      <c r="BW107" s="1559"/>
      <c r="BX107" s="1559"/>
      <c r="BY107" s="1559"/>
      <c r="BZ107" s="1559"/>
      <c r="CA107" s="1559"/>
      <c r="CB107" s="1559"/>
      <c r="CC107" s="1559"/>
      <c r="CD107" s="1559"/>
      <c r="CE107" s="1559"/>
      <c r="CF107" s="1767"/>
    </row>
    <row r="108" spans="1:84" ht="11.25" hidden="1" customHeight="1">
      <c r="A108" s="1726"/>
      <c r="B108" s="1083"/>
      <c r="C108" s="348"/>
      <c r="D108" s="2611"/>
      <c r="E108" s="585" t="s">
        <v>22</v>
      </c>
      <c r="F108" s="1091" t="s">
        <v>22</v>
      </c>
      <c r="G108" s="1091" t="s">
        <v>681</v>
      </c>
      <c r="H108" s="587" t="s">
        <v>22</v>
      </c>
      <c r="I108" s="587"/>
      <c r="J108" s="587"/>
      <c r="K108" s="587"/>
      <c r="L108" s="587"/>
      <c r="M108" s="587"/>
      <c r="N108" s="587"/>
      <c r="O108" s="587"/>
      <c r="P108" s="587"/>
      <c r="Q108" s="587"/>
      <c r="R108" s="588"/>
      <c r="S108" s="589"/>
      <c r="T108" s="654"/>
      <c r="U108" s="2505"/>
      <c r="V108" s="2505"/>
      <c r="W108" s="1083"/>
      <c r="X108" s="1083"/>
      <c r="Y108" s="1083"/>
      <c r="Z108" s="1083"/>
      <c r="AA108" s="1559"/>
      <c r="AB108" s="1083"/>
      <c r="AC108" s="2617"/>
      <c r="AD108" s="565"/>
      <c r="AE108" s="1083"/>
      <c r="AF108" s="1083"/>
      <c r="AG108" s="1559"/>
      <c r="AH108" s="1559"/>
      <c r="AI108" s="1559"/>
      <c r="AJ108" s="1559"/>
      <c r="AK108" s="1559"/>
      <c r="AL108" s="1559"/>
      <c r="AM108" s="1559"/>
      <c r="AN108" s="1559"/>
      <c r="AO108" s="1559"/>
      <c r="AP108" s="1559"/>
      <c r="AQ108" s="1559"/>
      <c r="AR108" s="1559"/>
      <c r="AS108" s="1559"/>
      <c r="AT108" s="1559"/>
      <c r="AU108" s="1559"/>
      <c r="AV108" s="1559"/>
      <c r="AW108" s="1559"/>
      <c r="AX108" s="1559"/>
      <c r="AY108" s="1559"/>
      <c r="AZ108" s="1559"/>
      <c r="BA108" s="1559"/>
      <c r="BB108" s="1559"/>
      <c r="BC108" s="1559"/>
      <c r="BD108" s="1559"/>
      <c r="BE108" s="1559"/>
      <c r="BF108" s="1559"/>
      <c r="BG108" s="1559"/>
      <c r="BH108" s="1559"/>
      <c r="BI108" s="1559"/>
      <c r="BJ108" s="1559"/>
      <c r="BK108" s="1559"/>
      <c r="BL108" s="1559"/>
      <c r="BM108" s="1559"/>
      <c r="BN108" s="1559"/>
      <c r="BO108" s="1559"/>
      <c r="BP108" s="1559"/>
      <c r="BQ108" s="1559"/>
      <c r="BR108" s="1559"/>
      <c r="BS108" s="1559"/>
      <c r="BT108" s="1559"/>
      <c r="BU108" s="1559"/>
      <c r="BV108" s="1083"/>
      <c r="BW108" s="1083"/>
      <c r="BX108" s="1083"/>
      <c r="BY108" s="1083"/>
      <c r="BZ108" s="1083"/>
      <c r="CA108" s="1083"/>
      <c r="CB108" s="1083"/>
      <c r="CC108" s="1083"/>
      <c r="CD108" s="1083"/>
      <c r="CE108" s="1083"/>
      <c r="CF108" s="1767"/>
    </row>
    <row r="109" spans="1:84" ht="5.25" hidden="1" customHeight="1">
      <c r="A109" s="1713"/>
      <c r="B109" s="1559"/>
      <c r="C109" s="1559"/>
      <c r="D109" s="2611"/>
      <c r="E109" s="966"/>
      <c r="F109" s="966"/>
      <c r="G109" s="966"/>
      <c r="H109" s="966"/>
      <c r="I109" s="966"/>
      <c r="J109" s="966"/>
      <c r="K109" s="966"/>
      <c r="L109" s="966"/>
      <c r="M109" s="966"/>
      <c r="N109" s="966"/>
      <c r="O109" s="966"/>
      <c r="P109" s="966"/>
      <c r="Q109" s="967"/>
      <c r="R109" s="968"/>
      <c r="S109" s="969"/>
      <c r="T109" s="653" t="s">
        <v>646</v>
      </c>
      <c r="U109" s="2505">
        <v>1</v>
      </c>
      <c r="V109" s="2505" t="s">
        <v>600</v>
      </c>
      <c r="W109" s="1559"/>
      <c r="X109" s="1559"/>
      <c r="Y109" s="1559"/>
      <c r="Z109" s="1559"/>
      <c r="AA109" s="1559"/>
      <c r="AB109" s="1559"/>
      <c r="AC109" s="964"/>
      <c r="AD109" s="965"/>
      <c r="AE109" s="1559"/>
      <c r="AF109" s="1559"/>
      <c r="AG109" s="1559"/>
      <c r="AH109" s="1559"/>
      <c r="AI109" s="1559"/>
      <c r="AJ109" s="1559"/>
      <c r="AK109" s="1559"/>
      <c r="AL109" s="1559"/>
      <c r="AM109" s="1559"/>
      <c r="AN109" s="1559"/>
      <c r="AO109" s="1559"/>
      <c r="AP109" s="1559"/>
      <c r="AQ109" s="1559"/>
      <c r="AR109" s="1559"/>
      <c r="AS109" s="1559"/>
      <c r="AT109" s="1559"/>
      <c r="AU109" s="1559"/>
      <c r="AV109" s="1559"/>
      <c r="AW109" s="1559"/>
      <c r="AX109" s="1559"/>
      <c r="AY109" s="1559"/>
      <c r="AZ109" s="1559"/>
      <c r="BA109" s="1559"/>
      <c r="BB109" s="1559"/>
      <c r="BC109" s="1559"/>
      <c r="BD109" s="1559"/>
      <c r="BE109" s="1559"/>
      <c r="BF109" s="1559"/>
      <c r="BG109" s="1559"/>
      <c r="BH109" s="1559"/>
      <c r="BI109" s="1559"/>
      <c r="BJ109" s="1559"/>
      <c r="BK109" s="1559"/>
      <c r="BL109" s="1559"/>
      <c r="BM109" s="1559"/>
      <c r="BN109" s="1559"/>
      <c r="BO109" s="1559"/>
      <c r="BP109" s="1559"/>
      <c r="BQ109" s="1559"/>
      <c r="BR109" s="1559"/>
      <c r="BS109" s="1559"/>
      <c r="BT109" s="1559"/>
      <c r="BU109" s="1559"/>
      <c r="BV109" s="1559"/>
      <c r="BW109" s="1559"/>
      <c r="BX109" s="1559"/>
      <c r="BY109" s="1559"/>
      <c r="BZ109" s="1559"/>
      <c r="CA109" s="1559"/>
      <c r="CB109" s="1559"/>
      <c r="CC109" s="1559"/>
      <c r="CD109" s="1559"/>
      <c r="CE109" s="1559"/>
      <c r="CF109" s="1239"/>
    </row>
    <row r="110" spans="1:84" ht="5.25" hidden="1" customHeight="1">
      <c r="A110" s="1713"/>
      <c r="B110" s="1559"/>
      <c r="C110" s="1559"/>
      <c r="D110" s="2611"/>
      <c r="E110" s="571"/>
      <c r="F110" s="571"/>
      <c r="G110" s="571"/>
      <c r="H110" s="571"/>
      <c r="I110" s="571"/>
      <c r="J110" s="571"/>
      <c r="K110" s="571"/>
      <c r="L110" s="571"/>
      <c r="M110" s="571"/>
      <c r="N110" s="571"/>
      <c r="O110" s="571"/>
      <c r="P110" s="571"/>
      <c r="Q110" s="571"/>
      <c r="R110" s="571"/>
      <c r="S110" s="572"/>
      <c r="T110" s="654"/>
      <c r="U110" s="2505"/>
      <c r="V110" s="2505"/>
      <c r="W110" s="1559"/>
      <c r="X110" s="1559"/>
      <c r="Y110" s="1559"/>
      <c r="Z110" s="1559"/>
      <c r="AA110" s="1559"/>
      <c r="AB110" s="1559"/>
      <c r="AC110" s="964"/>
      <c r="AD110" s="965"/>
      <c r="AE110" s="1559"/>
      <c r="AF110" s="1559"/>
      <c r="AG110" s="1559"/>
      <c r="AH110" s="1559"/>
      <c r="AI110" s="1559"/>
      <c r="AJ110" s="1559"/>
      <c r="AK110" s="1559"/>
      <c r="AL110" s="1559"/>
      <c r="AM110" s="1559"/>
      <c r="AN110" s="1559"/>
      <c r="AO110" s="1559"/>
      <c r="AP110" s="1559"/>
      <c r="AQ110" s="1559"/>
      <c r="AR110" s="1559"/>
      <c r="AS110" s="1559"/>
      <c r="AT110" s="1559"/>
      <c r="AU110" s="1559"/>
      <c r="AV110" s="1559"/>
      <c r="AW110" s="1559"/>
      <c r="AX110" s="1559"/>
      <c r="AY110" s="1559"/>
      <c r="AZ110" s="1559"/>
      <c r="BA110" s="1559"/>
      <c r="BB110" s="1559"/>
      <c r="BC110" s="1559"/>
      <c r="BD110" s="1559"/>
      <c r="BE110" s="1559"/>
      <c r="BF110" s="1559"/>
      <c r="BG110" s="1559"/>
      <c r="BH110" s="1559"/>
      <c r="BI110" s="1559"/>
      <c r="BJ110" s="1559"/>
      <c r="BK110" s="1559"/>
      <c r="BL110" s="1559"/>
      <c r="BM110" s="1559"/>
      <c r="BN110" s="1559"/>
      <c r="BO110" s="1559"/>
      <c r="BP110" s="1559"/>
      <c r="BQ110" s="1559"/>
      <c r="BR110" s="1559"/>
      <c r="BS110" s="1559"/>
      <c r="BT110" s="1559"/>
      <c r="BU110" s="1559"/>
      <c r="BV110" s="1559"/>
      <c r="BW110" s="1559"/>
      <c r="BX110" s="1559"/>
      <c r="BY110" s="1559"/>
      <c r="BZ110" s="1559"/>
      <c r="CA110" s="1559"/>
      <c r="CB110" s="1559"/>
      <c r="CC110" s="1559"/>
      <c r="CD110" s="1559"/>
      <c r="CE110" s="1559"/>
      <c r="CF110" s="1239"/>
    </row>
    <row r="111" spans="1:84" ht="5.25" hidden="1" customHeight="1">
      <c r="A111" s="1713"/>
      <c r="B111" s="1559"/>
      <c r="C111" s="1559"/>
      <c r="D111" s="2612"/>
      <c r="E111" s="970"/>
      <c r="F111" s="971"/>
      <c r="G111" s="971"/>
      <c r="H111" s="972"/>
      <c r="I111" s="972"/>
      <c r="J111" s="972"/>
      <c r="K111" s="972"/>
      <c r="L111" s="972"/>
      <c r="M111" s="972"/>
      <c r="N111" s="972"/>
      <c r="O111" s="972"/>
      <c r="P111" s="972"/>
      <c r="Q111" s="972"/>
      <c r="R111" s="874"/>
      <c r="S111" s="973"/>
      <c r="T111" s="654"/>
      <c r="U111" s="2505"/>
      <c r="V111" s="2505"/>
      <c r="W111" s="1559"/>
      <c r="X111" s="1559"/>
      <c r="Y111" s="1559"/>
      <c r="Z111" s="1559"/>
      <c r="AA111" s="1559"/>
      <c r="AB111" s="1559"/>
      <c r="AC111" s="964"/>
      <c r="AD111" s="965"/>
      <c r="AE111" s="1559"/>
      <c r="AF111" s="1559"/>
      <c r="AG111" s="1559"/>
      <c r="AH111" s="1559"/>
      <c r="AI111" s="1559"/>
      <c r="AJ111" s="1559"/>
      <c r="AK111" s="1559"/>
      <c r="AL111" s="1559"/>
      <c r="AM111" s="1559"/>
      <c r="AN111" s="1559"/>
      <c r="AO111" s="1559"/>
      <c r="AP111" s="1559"/>
      <c r="AQ111" s="1559"/>
      <c r="AR111" s="1559"/>
      <c r="AS111" s="1559"/>
      <c r="AT111" s="1559"/>
      <c r="AU111" s="1559"/>
      <c r="AV111" s="1559"/>
      <c r="AW111" s="1559"/>
      <c r="AX111" s="1559"/>
      <c r="AY111" s="1559"/>
      <c r="AZ111" s="1559"/>
      <c r="BA111" s="1559"/>
      <c r="BB111" s="1559"/>
      <c r="BC111" s="1559"/>
      <c r="BD111" s="1559"/>
      <c r="BE111" s="1559"/>
      <c r="BF111" s="1559"/>
      <c r="BG111" s="1559"/>
      <c r="BH111" s="1559"/>
      <c r="BI111" s="1559"/>
      <c r="BJ111" s="1559"/>
      <c r="BK111" s="1559"/>
      <c r="BL111" s="1559"/>
      <c r="BM111" s="1559"/>
      <c r="BN111" s="1559"/>
      <c r="BO111" s="1559"/>
      <c r="BP111" s="1559"/>
      <c r="BQ111" s="1559"/>
      <c r="BR111" s="1559"/>
      <c r="BS111" s="1559"/>
      <c r="BT111" s="1559"/>
      <c r="BU111" s="1559"/>
      <c r="BV111" s="1559"/>
      <c r="BW111" s="1559"/>
      <c r="BX111" s="1559"/>
      <c r="BY111" s="1559"/>
      <c r="BZ111" s="1559"/>
      <c r="CA111" s="1559"/>
      <c r="CB111" s="1559"/>
      <c r="CC111" s="1559"/>
      <c r="CD111" s="1559"/>
      <c r="CE111" s="1559"/>
      <c r="CF111" s="1239"/>
    </row>
    <row r="112" spans="1:84" ht="15" customHeight="1">
      <c r="A112" s="559" t="s">
        <v>139</v>
      </c>
      <c r="B112" s="560"/>
      <c r="C112" s="560" t="s">
        <v>22</v>
      </c>
      <c r="D112" s="2610" t="s">
        <v>706</v>
      </c>
      <c r="E112" s="2613" t="s">
        <v>119</v>
      </c>
      <c r="F112" s="2614"/>
      <c r="G112" s="2615"/>
      <c r="H112" s="2616" t="str">
        <f>IF(A112="","",INDEX(DIFFERENTIATION_UNMERGE_VD,MATCH(A112,DIFFERENTIATION_ID_DIFF,0)))</f>
        <v>Передача. Тепловая энергия; Сбыт. Тепловая энергия</v>
      </c>
      <c r="I112" s="2616"/>
      <c r="J112" s="2616"/>
      <c r="K112" s="2616"/>
      <c r="L112" s="2616"/>
      <c r="M112" s="2616"/>
      <c r="N112" s="2616"/>
      <c r="O112" s="2616"/>
      <c r="P112" s="2616"/>
      <c r="Q112" s="2616"/>
      <c r="R112" s="2616"/>
      <c r="S112" s="655"/>
      <c r="T112" s="652"/>
      <c r="U112" s="561"/>
      <c r="V112" s="561"/>
      <c r="W112" s="562"/>
      <c r="X112" s="562"/>
      <c r="Y112" s="562"/>
      <c r="Z112" s="562"/>
      <c r="AA112" s="563"/>
      <c r="AB112" s="564"/>
      <c r="AC112" s="2617"/>
      <c r="AD112" s="565"/>
      <c r="AE112" s="566" t="s">
        <v>22</v>
      </c>
      <c r="AF112" s="566"/>
      <c r="AG112" s="567" t="s">
        <v>643</v>
      </c>
      <c r="AH112" s="568">
        <v>3</v>
      </c>
      <c r="AI112" s="561"/>
      <c r="AJ112" s="561"/>
      <c r="AK112" s="561"/>
      <c r="AL112" s="561"/>
      <c r="AM112" s="561"/>
      <c r="AN112" s="561"/>
      <c r="AO112" s="561"/>
      <c r="AP112" s="561"/>
      <c r="AQ112" s="561"/>
      <c r="AR112" s="561"/>
      <c r="AS112" s="561"/>
      <c r="AT112" s="561"/>
      <c r="AU112" s="561"/>
      <c r="AV112" s="561"/>
      <c r="AW112" s="561"/>
      <c r="AX112" s="561"/>
      <c r="AY112" s="561"/>
      <c r="AZ112" s="561"/>
      <c r="BA112" s="561"/>
      <c r="BB112" s="561"/>
      <c r="BC112" s="561"/>
      <c r="BD112" s="561"/>
      <c r="BE112" s="561"/>
      <c r="BF112" s="561"/>
      <c r="BG112" s="561"/>
      <c r="BH112" s="561"/>
      <c r="BI112" s="561"/>
      <c r="BJ112" s="561"/>
      <c r="BK112" s="561"/>
      <c r="BL112" s="561"/>
      <c r="BM112" s="561"/>
      <c r="BN112" s="561"/>
      <c r="BO112" s="561"/>
      <c r="BP112" s="561"/>
      <c r="BQ112" s="561"/>
      <c r="BR112" s="561"/>
      <c r="BS112" s="561"/>
      <c r="BT112" s="561"/>
      <c r="BU112" s="561"/>
      <c r="BV112" s="562"/>
      <c r="BW112" s="562"/>
      <c r="BX112" s="562"/>
      <c r="BY112" s="562"/>
      <c r="BZ112" s="562"/>
      <c r="CA112" s="562"/>
      <c r="CB112" s="562"/>
      <c r="CC112" s="562"/>
      <c r="CD112" s="562"/>
      <c r="CE112" s="562"/>
      <c r="CF112" s="1767"/>
    </row>
    <row r="113" spans="1:84" ht="15" customHeight="1">
      <c r="A113" s="559"/>
      <c r="B113" s="560"/>
      <c r="C113" s="560"/>
      <c r="D113" s="2611"/>
      <c r="E113" s="2613" t="s">
        <v>581</v>
      </c>
      <c r="F113" s="2614"/>
      <c r="G113" s="2615"/>
      <c r="H113" s="2616" t="str">
        <f>IF(A112="","",INDEX(DIFFERENTIATION_UNMERGE_AREA,MATCH(A112,DIFFERENTIATION_ID_DIFF,0)))</f>
        <v>Территория 2</v>
      </c>
      <c r="I113" s="2616"/>
      <c r="J113" s="2616"/>
      <c r="K113" s="2616"/>
      <c r="L113" s="2616"/>
      <c r="M113" s="2616"/>
      <c r="N113" s="2616"/>
      <c r="O113" s="2616"/>
      <c r="P113" s="2616"/>
      <c r="Q113" s="2616"/>
      <c r="R113" s="2616"/>
      <c r="S113" s="655"/>
      <c r="T113" s="652"/>
      <c r="U113" s="561"/>
      <c r="V113" s="561"/>
      <c r="W113" s="562"/>
      <c r="X113" s="562"/>
      <c r="Y113" s="562"/>
      <c r="Z113" s="562"/>
      <c r="AA113" s="563"/>
      <c r="AB113" s="564"/>
      <c r="AC113" s="2617"/>
      <c r="AD113" s="565"/>
      <c r="AE113" s="566"/>
      <c r="AF113" s="566"/>
      <c r="AG113" s="567"/>
      <c r="AH113" s="568"/>
      <c r="AI113" s="561"/>
      <c r="AJ113" s="561"/>
      <c r="AK113" s="561"/>
      <c r="AL113" s="561"/>
      <c r="AM113" s="561"/>
      <c r="AN113" s="561"/>
      <c r="AO113" s="561"/>
      <c r="AP113" s="561"/>
      <c r="AQ113" s="561"/>
      <c r="AR113" s="561"/>
      <c r="AS113" s="561"/>
      <c r="AT113" s="561"/>
      <c r="AU113" s="561"/>
      <c r="AV113" s="561"/>
      <c r="AW113" s="561"/>
      <c r="AX113" s="561"/>
      <c r="AY113" s="561"/>
      <c r="AZ113" s="561"/>
      <c r="BA113" s="561"/>
      <c r="BB113" s="561"/>
      <c r="BC113" s="561"/>
      <c r="BD113" s="561"/>
      <c r="BE113" s="561"/>
      <c r="BF113" s="561"/>
      <c r="BG113" s="561"/>
      <c r="BH113" s="561"/>
      <c r="BI113" s="561"/>
      <c r="BJ113" s="561"/>
      <c r="BK113" s="561"/>
      <c r="BL113" s="561"/>
      <c r="BM113" s="561"/>
      <c r="BN113" s="561"/>
      <c r="BO113" s="561"/>
      <c r="BP113" s="561"/>
      <c r="BQ113" s="561"/>
      <c r="BR113" s="561"/>
      <c r="BS113" s="561"/>
      <c r="BT113" s="561"/>
      <c r="BU113" s="561"/>
      <c r="BV113" s="562"/>
      <c r="BW113" s="562"/>
      <c r="BX113" s="562"/>
      <c r="BY113" s="562"/>
      <c r="BZ113" s="562"/>
      <c r="CA113" s="562"/>
      <c r="CB113" s="562"/>
      <c r="CC113" s="562"/>
      <c r="CD113" s="562"/>
      <c r="CE113" s="562"/>
      <c r="CF113" s="1767"/>
    </row>
    <row r="114" spans="1:84" ht="15" customHeight="1">
      <c r="A114" s="559"/>
      <c r="B114" s="560"/>
      <c r="C114" s="560"/>
      <c r="D114" s="2611"/>
      <c r="E114" s="2613" t="s">
        <v>582</v>
      </c>
      <c r="F114" s="2614"/>
      <c r="G114" s="2615"/>
      <c r="H114" s="2616" t="str">
        <f>IF(A112="","",INDEX(DIFFERENTIATION_UNMERGE_SYSTEM,MATCH(A112,DIFFERENTIATION_ID_DIFF,0)))</f>
        <v>без дифференциации</v>
      </c>
      <c r="I114" s="2616"/>
      <c r="J114" s="2616"/>
      <c r="K114" s="2616"/>
      <c r="L114" s="2616"/>
      <c r="M114" s="2616"/>
      <c r="N114" s="2616"/>
      <c r="O114" s="2616"/>
      <c r="P114" s="2616"/>
      <c r="Q114" s="2616"/>
      <c r="R114" s="2616"/>
      <c r="S114" s="655"/>
      <c r="T114" s="652"/>
      <c r="U114" s="561"/>
      <c r="V114" s="561"/>
      <c r="W114" s="562"/>
      <c r="X114" s="562"/>
      <c r="Y114" s="562"/>
      <c r="Z114" s="562"/>
      <c r="AA114" s="563"/>
      <c r="AB114" s="564"/>
      <c r="AC114" s="2617"/>
      <c r="AD114" s="565"/>
      <c r="AE114" s="566"/>
      <c r="AF114" s="566"/>
      <c r="AG114" s="567"/>
      <c r="AH114" s="568"/>
      <c r="AI114" s="561"/>
      <c r="AJ114" s="561"/>
      <c r="AK114" s="561"/>
      <c r="AL114" s="561"/>
      <c r="AM114" s="561"/>
      <c r="AN114" s="561"/>
      <c r="AO114" s="561"/>
      <c r="AP114" s="561"/>
      <c r="AQ114" s="561"/>
      <c r="AR114" s="561"/>
      <c r="AS114" s="561"/>
      <c r="AT114" s="561"/>
      <c r="AU114" s="561"/>
      <c r="AV114" s="561"/>
      <c r="AW114" s="561"/>
      <c r="AX114" s="561"/>
      <c r="AY114" s="561"/>
      <c r="AZ114" s="561"/>
      <c r="BA114" s="561"/>
      <c r="BB114" s="561"/>
      <c r="BC114" s="561"/>
      <c r="BD114" s="561"/>
      <c r="BE114" s="561"/>
      <c r="BF114" s="561"/>
      <c r="BG114" s="561"/>
      <c r="BH114" s="561"/>
      <c r="BI114" s="561"/>
      <c r="BJ114" s="561"/>
      <c r="BK114" s="561"/>
      <c r="BL114" s="561"/>
      <c r="BM114" s="561"/>
      <c r="BN114" s="561"/>
      <c r="BO114" s="561"/>
      <c r="BP114" s="561"/>
      <c r="BQ114" s="561"/>
      <c r="BR114" s="561"/>
      <c r="BS114" s="561"/>
      <c r="BT114" s="561"/>
      <c r="BU114" s="561"/>
      <c r="BV114" s="562"/>
      <c r="BW114" s="562"/>
      <c r="BX114" s="562"/>
      <c r="BY114" s="562"/>
      <c r="BZ114" s="562"/>
      <c r="CA114" s="562"/>
      <c r="CB114" s="562"/>
      <c r="CC114" s="562"/>
      <c r="CD114" s="562"/>
      <c r="CE114" s="562"/>
      <c r="CF114" s="1767"/>
    </row>
    <row r="115" spans="1:84" ht="24.75" customHeight="1">
      <c r="A115" s="1726"/>
      <c r="B115" s="1083"/>
      <c r="C115" s="348"/>
      <c r="D115" s="2611"/>
      <c r="E115" s="2618" t="s">
        <v>644</v>
      </c>
      <c r="F115" s="2618"/>
      <c r="G115" s="2618"/>
      <c r="H115" s="2618"/>
      <c r="I115" s="2618"/>
      <c r="J115" s="2618"/>
      <c r="K115" s="2618"/>
      <c r="L115" s="2618"/>
      <c r="M115" s="2618"/>
      <c r="N115" s="2618"/>
      <c r="O115" s="2618"/>
      <c r="P115" s="2618"/>
      <c r="Q115" s="494">
        <f>SUMIF(T116:T133,"i",Q116:Q133)</f>
        <v>72397.62</v>
      </c>
      <c r="R115" s="944"/>
      <c r="S115" s="1718" t="s">
        <v>645</v>
      </c>
      <c r="T115" s="653" t="s">
        <v>646</v>
      </c>
      <c r="U115" s="2505">
        <v>1</v>
      </c>
      <c r="V115" s="2505" t="str">
        <f>INDEX(B_FHD_FLAG_INDEX_1,1,MATCH(A112,B_FHD_FLAG_DIFFERENTIATION,0))</f>
        <v>есть</v>
      </c>
      <c r="W115" s="1083"/>
      <c r="X115" s="1083"/>
      <c r="Y115" s="1083"/>
      <c r="Z115" s="1083"/>
      <c r="AA115" s="1559"/>
      <c r="AB115" s="1083"/>
      <c r="AC115" s="2617"/>
      <c r="AD115" s="565"/>
      <c r="AE115" s="1083"/>
      <c r="AF115" s="1083"/>
      <c r="AG115" s="1559"/>
      <c r="AH115" s="1559"/>
      <c r="AI115" s="1559"/>
      <c r="AJ115" s="1559"/>
      <c r="AK115" s="1559"/>
      <c r="AL115" s="1559"/>
      <c r="AM115" s="1559"/>
      <c r="AN115" s="1559"/>
      <c r="AO115" s="1559"/>
      <c r="AP115" s="1559"/>
      <c r="AQ115" s="1559"/>
      <c r="AR115" s="1559"/>
      <c r="AS115" s="1559"/>
      <c r="AT115" s="1559"/>
      <c r="AU115" s="1559"/>
      <c r="AV115" s="1559"/>
      <c r="AW115" s="1559"/>
      <c r="AX115" s="1559"/>
      <c r="AY115" s="1559"/>
      <c r="AZ115" s="1559"/>
      <c r="BA115" s="1559"/>
      <c r="BB115" s="1559"/>
      <c r="BC115" s="1559"/>
      <c r="BD115" s="1559"/>
      <c r="BE115" s="1559"/>
      <c r="BF115" s="1559"/>
      <c r="BG115" s="1559"/>
      <c r="BH115" s="1559"/>
      <c r="BI115" s="1559"/>
      <c r="BJ115" s="1559"/>
      <c r="BK115" s="1559"/>
      <c r="BL115" s="1559"/>
      <c r="BM115" s="1559"/>
      <c r="BN115" s="1559"/>
      <c r="BO115" s="1559"/>
      <c r="BP115" s="1559"/>
      <c r="BQ115" s="1559"/>
      <c r="BR115" s="1559"/>
      <c r="BS115" s="1559"/>
      <c r="BT115" s="1559"/>
      <c r="BU115" s="1559"/>
      <c r="BV115" s="1083"/>
      <c r="BW115" s="1083"/>
      <c r="BX115" s="1083"/>
      <c r="BY115" s="1083"/>
      <c r="BZ115" s="1083"/>
      <c r="CA115" s="1083"/>
      <c r="CB115" s="1083"/>
      <c r="CC115" s="1083"/>
      <c r="CD115" s="1083"/>
      <c r="CE115" s="1083"/>
      <c r="CF115" s="1767"/>
    </row>
    <row r="116" spans="1:84" ht="11.25" hidden="1" customHeight="1">
      <c r="A116" s="1713"/>
      <c r="B116" s="1559"/>
      <c r="C116" s="1559"/>
      <c r="D116" s="2611"/>
      <c r="E116" s="571"/>
      <c r="F116" s="571">
        <v>0</v>
      </c>
      <c r="G116" s="571"/>
      <c r="H116" s="571"/>
      <c r="I116" s="571"/>
      <c r="J116" s="571"/>
      <c r="K116" s="571"/>
      <c r="L116" s="571"/>
      <c r="M116" s="571"/>
      <c r="N116" s="571"/>
      <c r="O116" s="571"/>
      <c r="P116" s="571"/>
      <c r="Q116" s="571"/>
      <c r="R116" s="571"/>
      <c r="S116" s="572"/>
      <c r="T116" s="654"/>
      <c r="U116" s="2505"/>
      <c r="V116" s="2505"/>
      <c r="W116" s="1559"/>
      <c r="X116" s="1559"/>
      <c r="Y116" s="1559"/>
      <c r="Z116" s="1559"/>
      <c r="AA116" s="1559"/>
      <c r="AB116" s="1083"/>
      <c r="AC116" s="2617"/>
      <c r="AD116" s="565"/>
      <c r="AE116" s="1083"/>
      <c r="AF116" s="1083"/>
      <c r="AG116" s="1559"/>
      <c r="AH116" s="1559"/>
      <c r="AI116" s="1559"/>
      <c r="AJ116" s="1559"/>
      <c r="AK116" s="1559"/>
      <c r="AL116" s="1559"/>
      <c r="AM116" s="1559"/>
      <c r="AN116" s="1559"/>
      <c r="AO116" s="1559"/>
      <c r="AP116" s="1559"/>
      <c r="AQ116" s="1559"/>
      <c r="AR116" s="1559"/>
      <c r="AS116" s="1559"/>
      <c r="AT116" s="1559"/>
      <c r="AU116" s="1559"/>
      <c r="AV116" s="1559"/>
      <c r="AW116" s="1559"/>
      <c r="AX116" s="1559"/>
      <c r="AY116" s="1559"/>
      <c r="AZ116" s="1559"/>
      <c r="BA116" s="1559"/>
      <c r="BB116" s="1559"/>
      <c r="BC116" s="1559"/>
      <c r="BD116" s="1559"/>
      <c r="BE116" s="1559"/>
      <c r="BF116" s="1559"/>
      <c r="BG116" s="1559"/>
      <c r="BH116" s="1559"/>
      <c r="BI116" s="1559"/>
      <c r="BJ116" s="1559"/>
      <c r="BK116" s="1559"/>
      <c r="BL116" s="1559"/>
      <c r="BM116" s="1559"/>
      <c r="BN116" s="1559"/>
      <c r="BO116" s="1559"/>
      <c r="BP116" s="1559"/>
      <c r="BQ116" s="1559"/>
      <c r="BR116" s="1559"/>
      <c r="BS116" s="1559"/>
      <c r="BT116" s="1559"/>
      <c r="BU116" s="1559"/>
      <c r="BV116" s="1559"/>
      <c r="BW116" s="1559"/>
      <c r="BX116" s="1559"/>
      <c r="BY116" s="1559"/>
      <c r="BZ116" s="1559"/>
      <c r="CA116" s="1559"/>
      <c r="CB116" s="1559"/>
      <c r="CC116" s="1559"/>
      <c r="CD116" s="1559"/>
      <c r="CE116" s="1559"/>
      <c r="CF116" s="1767"/>
    </row>
    <row r="117" spans="1:84" ht="45" customHeight="1">
      <c r="A117" s="1726"/>
      <c r="B117" s="1083"/>
      <c r="C117" s="348"/>
      <c r="D117" s="2609"/>
      <c r="E117" s="2599" t="s">
        <v>104</v>
      </c>
      <c r="F117" s="2365" t="s">
        <v>100</v>
      </c>
      <c r="G117" s="2602" t="s">
        <v>707</v>
      </c>
      <c r="H117" s="226"/>
      <c r="I117" s="573" t="s">
        <v>100</v>
      </c>
      <c r="J117" s="1727" t="s">
        <v>648</v>
      </c>
      <c r="K117" s="574" t="s">
        <v>563</v>
      </c>
      <c r="L117" s="2479" t="s">
        <v>563</v>
      </c>
      <c r="M117" s="2415"/>
      <c r="N117" s="574" t="s">
        <v>563</v>
      </c>
      <c r="O117" s="574" t="s">
        <v>563</v>
      </c>
      <c r="P117" s="574" t="s">
        <v>563</v>
      </c>
      <c r="Q117" s="575">
        <f>SUM(Q118:Q120)</f>
        <v>53684.03</v>
      </c>
      <c r="R117" s="575">
        <f>IF('Показатели ФХД'!M89=0,0,($Q$117/'Показатели ФХД'!M89)*100)</f>
        <v>46.084034966823154</v>
      </c>
      <c r="S117" s="2439"/>
      <c r="T117" s="653" t="s">
        <v>646</v>
      </c>
      <c r="U117" s="2609"/>
      <c r="V117" s="2609"/>
      <c r="W117" s="1767"/>
      <c r="X117" s="1767"/>
      <c r="Y117" s="1767"/>
      <c r="Z117" s="1767"/>
      <c r="AA117" s="1767"/>
      <c r="AB117" s="1767"/>
      <c r="AC117" s="2609"/>
      <c r="AD117" s="1767"/>
      <c r="AE117" s="1767"/>
      <c r="AF117" s="1767"/>
      <c r="AG117" s="1767"/>
      <c r="AH117" s="1767"/>
      <c r="AI117" s="1767"/>
      <c r="AJ117" s="1767"/>
      <c r="AK117" s="1767"/>
      <c r="AL117" s="1767"/>
      <c r="AM117" s="1767"/>
      <c r="AN117" s="1767"/>
      <c r="AO117" s="1767"/>
      <c r="AP117" s="1767"/>
      <c r="AQ117" s="1767"/>
      <c r="AR117" s="1767"/>
      <c r="AS117" s="1767"/>
      <c r="AT117" s="1767"/>
      <c r="AU117" s="1767"/>
      <c r="AV117" s="1767"/>
      <c r="AW117" s="1767"/>
      <c r="AX117" s="1767"/>
      <c r="AY117" s="1767"/>
      <c r="AZ117" s="1767"/>
      <c r="BA117" s="1767"/>
      <c r="BB117" s="1767"/>
      <c r="BC117" s="1767"/>
      <c r="BD117" s="1767"/>
      <c r="BE117" s="1767"/>
      <c r="BF117" s="1767"/>
      <c r="BG117" s="1767"/>
      <c r="BH117" s="1767"/>
      <c r="BI117" s="1767"/>
      <c r="BJ117" s="1767"/>
      <c r="BK117" s="1767"/>
      <c r="BL117" s="1767"/>
      <c r="BM117" s="1767"/>
      <c r="BN117" s="1767"/>
      <c r="BO117" s="1767"/>
      <c r="BP117" s="1767"/>
      <c r="BQ117" s="1767"/>
      <c r="BR117" s="1767"/>
      <c r="BS117" s="1767"/>
      <c r="BT117" s="1767"/>
      <c r="BU117" s="1767"/>
      <c r="BV117" s="1767"/>
      <c r="BW117" s="1767"/>
      <c r="BX117" s="1767"/>
      <c r="BY117" s="1767"/>
      <c r="BZ117" s="1767"/>
      <c r="CA117" s="1767"/>
      <c r="CB117" s="1767"/>
      <c r="CC117" s="1767"/>
      <c r="CD117" s="1767"/>
      <c r="CE117" s="1767"/>
      <c r="CF117" s="1767"/>
    </row>
    <row r="118" spans="1:84" ht="11.25" customHeight="1">
      <c r="A118" s="1726"/>
      <c r="B118" s="1083"/>
      <c r="C118" s="348"/>
      <c r="D118" s="2609"/>
      <c r="E118" s="2600"/>
      <c r="F118" s="2365">
        <v>0</v>
      </c>
      <c r="G118" s="2602"/>
      <c r="H118" s="2371"/>
      <c r="I118" s="2604" t="s">
        <v>649</v>
      </c>
      <c r="J118" s="2605" t="s">
        <v>588</v>
      </c>
      <c r="K118" s="2606" t="s">
        <v>708</v>
      </c>
      <c r="L118" s="576"/>
      <c r="M118" s="577" t="s">
        <v>100</v>
      </c>
      <c r="N118" s="1715" t="s">
        <v>709</v>
      </c>
      <c r="O118" s="578">
        <f>Q118</f>
        <v>53684.03</v>
      </c>
      <c r="P118" s="579" t="s">
        <v>569</v>
      </c>
      <c r="Q118" s="578">
        <v>53684.03</v>
      </c>
      <c r="R118" s="580">
        <v>0</v>
      </c>
      <c r="S118" s="2439"/>
      <c r="T118" s="653"/>
      <c r="U118" s="2609"/>
      <c r="V118" s="2609"/>
      <c r="W118" s="1767"/>
      <c r="X118" s="1767"/>
      <c r="Y118" s="1767"/>
      <c r="Z118" s="1767"/>
      <c r="AA118" s="1767"/>
      <c r="AB118" s="1767"/>
      <c r="AC118" s="2609"/>
      <c r="AD118" s="1767"/>
      <c r="AE118" s="1767"/>
      <c r="AF118" s="1767"/>
      <c r="AG118" s="1767"/>
      <c r="AH118" s="1767"/>
      <c r="AI118" s="1767"/>
      <c r="AJ118" s="1767"/>
      <c r="AK118" s="1767"/>
      <c r="AL118" s="1767"/>
      <c r="AM118" s="1767"/>
      <c r="AN118" s="1767"/>
      <c r="AO118" s="1767"/>
      <c r="AP118" s="1767"/>
      <c r="AQ118" s="1767"/>
      <c r="AR118" s="1767"/>
      <c r="AS118" s="1767"/>
      <c r="AT118" s="1767"/>
      <c r="AU118" s="1767"/>
      <c r="AV118" s="1767"/>
      <c r="AW118" s="1767"/>
      <c r="AX118" s="1767"/>
      <c r="AY118" s="1767"/>
      <c r="AZ118" s="1767"/>
      <c r="BA118" s="1767"/>
      <c r="BB118" s="1767"/>
      <c r="BC118" s="1767"/>
      <c r="BD118" s="1767"/>
      <c r="BE118" s="1767"/>
      <c r="BF118" s="1767"/>
      <c r="BG118" s="1767"/>
      <c r="BH118" s="1767"/>
      <c r="BI118" s="1767"/>
      <c r="BJ118" s="1767"/>
      <c r="BK118" s="1767"/>
      <c r="BL118" s="1767"/>
      <c r="BM118" s="1767"/>
      <c r="BN118" s="1767"/>
      <c r="BO118" s="1767"/>
      <c r="BP118" s="1767"/>
      <c r="BQ118" s="1767"/>
      <c r="BR118" s="1767"/>
      <c r="BS118" s="1767"/>
      <c r="BT118" s="1767"/>
      <c r="BU118" s="1767"/>
      <c r="BV118" s="1767"/>
      <c r="BW118" s="1767"/>
      <c r="BX118" s="1767"/>
      <c r="BY118" s="1767"/>
      <c r="BZ118" s="1767"/>
      <c r="CA118" s="1767"/>
      <c r="CB118" s="1767"/>
      <c r="CC118" s="1767"/>
      <c r="CD118" s="1767"/>
      <c r="CE118" s="1767"/>
      <c r="CF118" s="1767"/>
    </row>
    <row r="119" spans="1:84" ht="11.25" customHeight="1">
      <c r="A119" s="1726"/>
      <c r="B119" s="1083"/>
      <c r="C119" s="348"/>
      <c r="D119" s="2609"/>
      <c r="E119" s="2600"/>
      <c r="F119" s="2365">
        <v>0</v>
      </c>
      <c r="G119" s="2602"/>
      <c r="H119" s="2371"/>
      <c r="I119" s="2604"/>
      <c r="J119" s="2605"/>
      <c r="K119" s="2607"/>
      <c r="L119" s="581"/>
      <c r="M119" s="582"/>
      <c r="N119" s="583" t="s">
        <v>652</v>
      </c>
      <c r="O119" s="583"/>
      <c r="P119" s="583"/>
      <c r="Q119" s="583"/>
      <c r="R119" s="584"/>
      <c r="S119" s="2439"/>
      <c r="T119" s="653"/>
      <c r="U119" s="2609"/>
      <c r="V119" s="2609"/>
      <c r="W119" s="1767"/>
      <c r="X119" s="1767"/>
      <c r="Y119" s="1767"/>
      <c r="Z119" s="1767"/>
      <c r="AA119" s="1767"/>
      <c r="AB119" s="1767"/>
      <c r="AC119" s="2609"/>
      <c r="AD119" s="1767"/>
      <c r="AE119" s="1767"/>
      <c r="AF119" s="1767"/>
      <c r="AG119" s="1767"/>
      <c r="AH119" s="1767"/>
      <c r="AI119" s="1767"/>
      <c r="AJ119" s="1767"/>
      <c r="AK119" s="1767"/>
      <c r="AL119" s="1767"/>
      <c r="AM119" s="1767"/>
      <c r="AN119" s="1767"/>
      <c r="AO119" s="1767"/>
      <c r="AP119" s="1767"/>
      <c r="AQ119" s="1767"/>
      <c r="AR119" s="1767"/>
      <c r="AS119" s="1767"/>
      <c r="AT119" s="1767"/>
      <c r="AU119" s="1767"/>
      <c r="AV119" s="1767"/>
      <c r="AW119" s="1767"/>
      <c r="AX119" s="1767"/>
      <c r="AY119" s="1767"/>
      <c r="AZ119" s="1767"/>
      <c r="BA119" s="1767"/>
      <c r="BB119" s="1767"/>
      <c r="BC119" s="1767"/>
      <c r="BD119" s="1767"/>
      <c r="BE119" s="1767"/>
      <c r="BF119" s="1767"/>
      <c r="BG119" s="1767"/>
      <c r="BH119" s="1767"/>
      <c r="BI119" s="1767"/>
      <c r="BJ119" s="1767"/>
      <c r="BK119" s="1767"/>
      <c r="BL119" s="1767"/>
      <c r="BM119" s="1767"/>
      <c r="BN119" s="1767"/>
      <c r="BO119" s="1767"/>
      <c r="BP119" s="1767"/>
      <c r="BQ119" s="1767"/>
      <c r="BR119" s="1767"/>
      <c r="BS119" s="1767"/>
      <c r="BT119" s="1767"/>
      <c r="BU119" s="1767"/>
      <c r="BV119" s="1767"/>
      <c r="BW119" s="1767"/>
      <c r="BX119" s="1767"/>
      <c r="BY119" s="1767"/>
      <c r="BZ119" s="1767"/>
      <c r="CA119" s="1767"/>
      <c r="CB119" s="1767"/>
      <c r="CC119" s="1767"/>
      <c r="CD119" s="1767"/>
      <c r="CE119" s="1767"/>
      <c r="CF119" s="1767"/>
    </row>
    <row r="120" spans="1:84" ht="11.25" customHeight="1">
      <c r="A120" s="1726"/>
      <c r="B120" s="1083"/>
      <c r="C120" s="348"/>
      <c r="D120" s="2609"/>
      <c r="E120" s="2601"/>
      <c r="F120" s="2365">
        <v>0</v>
      </c>
      <c r="G120" s="2603"/>
      <c r="H120" s="581" t="s">
        <v>22</v>
      </c>
      <c r="I120" s="582"/>
      <c r="J120" s="583" t="s">
        <v>656</v>
      </c>
      <c r="K120" s="583"/>
      <c r="L120" s="583"/>
      <c r="M120" s="583"/>
      <c r="N120" s="583"/>
      <c r="O120" s="583"/>
      <c r="P120" s="583"/>
      <c r="Q120" s="583"/>
      <c r="R120" s="584"/>
      <c r="S120" s="2439"/>
      <c r="T120" s="653"/>
      <c r="U120" s="2609"/>
      <c r="V120" s="2609"/>
      <c r="W120" s="1767"/>
      <c r="X120" s="1767"/>
      <c r="Y120" s="1767"/>
      <c r="Z120" s="1767"/>
      <c r="AA120" s="1767"/>
      <c r="AB120" s="1767"/>
      <c r="AC120" s="2609"/>
      <c r="AD120" s="1767"/>
      <c r="AE120" s="1767"/>
      <c r="AF120" s="1767"/>
      <c r="AG120" s="1767"/>
      <c r="AH120" s="1767"/>
      <c r="AI120" s="1767"/>
      <c r="AJ120" s="1767"/>
      <c r="AK120" s="1767"/>
      <c r="AL120" s="1767"/>
      <c r="AM120" s="1767"/>
      <c r="AN120" s="1767"/>
      <c r="AO120" s="1767"/>
      <c r="AP120" s="1767"/>
      <c r="AQ120" s="1767"/>
      <c r="AR120" s="1767"/>
      <c r="AS120" s="1767"/>
      <c r="AT120" s="1767"/>
      <c r="AU120" s="1767"/>
      <c r="AV120" s="1767"/>
      <c r="AW120" s="1767"/>
      <c r="AX120" s="1767"/>
      <c r="AY120" s="1767"/>
      <c r="AZ120" s="1767"/>
      <c r="BA120" s="1767"/>
      <c r="BB120" s="1767"/>
      <c r="BC120" s="1767"/>
      <c r="BD120" s="1767"/>
      <c r="BE120" s="1767"/>
      <c r="BF120" s="1767"/>
      <c r="BG120" s="1767"/>
      <c r="BH120" s="1767"/>
      <c r="BI120" s="1767"/>
      <c r="BJ120" s="1767"/>
      <c r="BK120" s="1767"/>
      <c r="BL120" s="1767"/>
      <c r="BM120" s="1767"/>
      <c r="BN120" s="1767"/>
      <c r="BO120" s="1767"/>
      <c r="BP120" s="1767"/>
      <c r="BQ120" s="1767"/>
      <c r="BR120" s="1767"/>
      <c r="BS120" s="1767"/>
      <c r="BT120" s="1767"/>
      <c r="BU120" s="1767"/>
      <c r="BV120" s="1767"/>
      <c r="BW120" s="1767"/>
      <c r="BX120" s="1767"/>
      <c r="BY120" s="1767"/>
      <c r="BZ120" s="1767"/>
      <c r="CA120" s="1767"/>
      <c r="CB120" s="1767"/>
      <c r="CC120" s="1767"/>
      <c r="CD120" s="1767"/>
      <c r="CE120" s="1767"/>
      <c r="CF120" s="1767"/>
    </row>
    <row r="121" spans="1:84" ht="45" customHeight="1">
      <c r="A121" s="1726"/>
      <c r="B121" s="1083"/>
      <c r="C121" s="348"/>
      <c r="D121" s="2609"/>
      <c r="E121" s="2599" t="s">
        <v>104</v>
      </c>
      <c r="F121" s="2365" t="s">
        <v>103</v>
      </c>
      <c r="G121" s="2602" t="s">
        <v>710</v>
      </c>
      <c r="H121" s="226"/>
      <c r="I121" s="573" t="s">
        <v>100</v>
      </c>
      <c r="J121" s="1727" t="s">
        <v>648</v>
      </c>
      <c r="K121" s="574" t="s">
        <v>563</v>
      </c>
      <c r="L121" s="2479" t="s">
        <v>563</v>
      </c>
      <c r="M121" s="2415"/>
      <c r="N121" s="574" t="s">
        <v>563</v>
      </c>
      <c r="O121" s="574" t="s">
        <v>563</v>
      </c>
      <c r="P121" s="574" t="s">
        <v>563</v>
      </c>
      <c r="Q121" s="575">
        <f>SUM(Q122:Q124)</f>
        <v>5000.18</v>
      </c>
      <c r="R121" s="575">
        <f>IF('Показатели ФХД'!M89=0,0,($Q$121/'Показатели ФХД'!M89)*100)</f>
        <v>4.2923094626169052</v>
      </c>
      <c r="S121" s="2439"/>
      <c r="T121" s="653" t="s">
        <v>646</v>
      </c>
      <c r="U121" s="2609"/>
      <c r="V121" s="2609"/>
      <c r="W121" s="1767"/>
      <c r="X121" s="1767"/>
      <c r="Y121" s="1767"/>
      <c r="Z121" s="1767"/>
      <c r="AA121" s="1767"/>
      <c r="AB121" s="1767"/>
      <c r="AC121" s="2609"/>
      <c r="AD121" s="1767"/>
      <c r="AE121" s="1767"/>
      <c r="AF121" s="1767"/>
      <c r="AG121" s="1767"/>
      <c r="AH121" s="1767"/>
      <c r="AI121" s="1767"/>
      <c r="AJ121" s="1767"/>
      <c r="AK121" s="1767"/>
      <c r="AL121" s="1767"/>
      <c r="AM121" s="1767"/>
      <c r="AN121" s="1767"/>
      <c r="AO121" s="1767"/>
      <c r="AP121" s="1767"/>
      <c r="AQ121" s="1767"/>
      <c r="AR121" s="1767"/>
      <c r="AS121" s="1767"/>
      <c r="AT121" s="1767"/>
      <c r="AU121" s="1767"/>
      <c r="AV121" s="1767"/>
      <c r="AW121" s="1767"/>
      <c r="AX121" s="1767"/>
      <c r="AY121" s="1767"/>
      <c r="AZ121" s="1767"/>
      <c r="BA121" s="1767"/>
      <c r="BB121" s="1767"/>
      <c r="BC121" s="1767"/>
      <c r="BD121" s="1767"/>
      <c r="BE121" s="1767"/>
      <c r="BF121" s="1767"/>
      <c r="BG121" s="1767"/>
      <c r="BH121" s="1767"/>
      <c r="BI121" s="1767"/>
      <c r="BJ121" s="1767"/>
      <c r="BK121" s="1767"/>
      <c r="BL121" s="1767"/>
      <c r="BM121" s="1767"/>
      <c r="BN121" s="1767"/>
      <c r="BO121" s="1767"/>
      <c r="BP121" s="1767"/>
      <c r="BQ121" s="1767"/>
      <c r="BR121" s="1767"/>
      <c r="BS121" s="1767"/>
      <c r="BT121" s="1767"/>
      <c r="BU121" s="1767"/>
      <c r="BV121" s="1767"/>
      <c r="BW121" s="1767"/>
      <c r="BX121" s="1767"/>
      <c r="BY121" s="1767"/>
      <c r="BZ121" s="1767"/>
      <c r="CA121" s="1767"/>
      <c r="CB121" s="1767"/>
      <c r="CC121" s="1767"/>
      <c r="CD121" s="1767"/>
      <c r="CE121" s="1767"/>
      <c r="CF121" s="1767"/>
    </row>
    <row r="122" spans="1:84" ht="11.25" customHeight="1">
      <c r="A122" s="1726"/>
      <c r="B122" s="1083"/>
      <c r="C122" s="348"/>
      <c r="D122" s="2609"/>
      <c r="E122" s="2600"/>
      <c r="F122" s="2365" t="s">
        <v>100</v>
      </c>
      <c r="G122" s="2602"/>
      <c r="H122" s="2371"/>
      <c r="I122" s="2604" t="s">
        <v>649</v>
      </c>
      <c r="J122" s="2605" t="s">
        <v>591</v>
      </c>
      <c r="K122" s="2606" t="s">
        <v>711</v>
      </c>
      <c r="L122" s="576"/>
      <c r="M122" s="577" t="s">
        <v>100</v>
      </c>
      <c r="N122" s="1715" t="s">
        <v>712</v>
      </c>
      <c r="O122" s="578">
        <f>Q122</f>
        <v>5000.18</v>
      </c>
      <c r="P122" s="579" t="s">
        <v>569</v>
      </c>
      <c r="Q122" s="578">
        <v>5000.18</v>
      </c>
      <c r="R122" s="580">
        <v>0</v>
      </c>
      <c r="S122" s="2439"/>
      <c r="T122" s="653"/>
      <c r="U122" s="2609"/>
      <c r="V122" s="2609"/>
      <c r="W122" s="1767"/>
      <c r="X122" s="1767"/>
      <c r="Y122" s="1767"/>
      <c r="Z122" s="1767"/>
      <c r="AA122" s="1767"/>
      <c r="AB122" s="1767"/>
      <c r="AC122" s="2609"/>
      <c r="AD122" s="1767"/>
      <c r="AE122" s="1767"/>
      <c r="AF122" s="1767"/>
      <c r="AG122" s="1767"/>
      <c r="AH122" s="1767"/>
      <c r="AI122" s="1767"/>
      <c r="AJ122" s="1767"/>
      <c r="AK122" s="1767"/>
      <c r="AL122" s="1767"/>
      <c r="AM122" s="1767"/>
      <c r="AN122" s="1767"/>
      <c r="AO122" s="1767"/>
      <c r="AP122" s="1767"/>
      <c r="AQ122" s="1767"/>
      <c r="AR122" s="1767"/>
      <c r="AS122" s="1767"/>
      <c r="AT122" s="1767"/>
      <c r="AU122" s="1767"/>
      <c r="AV122" s="1767"/>
      <c r="AW122" s="1767"/>
      <c r="AX122" s="1767"/>
      <c r="AY122" s="1767"/>
      <c r="AZ122" s="1767"/>
      <c r="BA122" s="1767"/>
      <c r="BB122" s="1767"/>
      <c r="BC122" s="1767"/>
      <c r="BD122" s="1767"/>
      <c r="BE122" s="1767"/>
      <c r="BF122" s="1767"/>
      <c r="BG122" s="1767"/>
      <c r="BH122" s="1767"/>
      <c r="BI122" s="1767"/>
      <c r="BJ122" s="1767"/>
      <c r="BK122" s="1767"/>
      <c r="BL122" s="1767"/>
      <c r="BM122" s="1767"/>
      <c r="BN122" s="1767"/>
      <c r="BO122" s="1767"/>
      <c r="BP122" s="1767"/>
      <c r="BQ122" s="1767"/>
      <c r="BR122" s="1767"/>
      <c r="BS122" s="1767"/>
      <c r="BT122" s="1767"/>
      <c r="BU122" s="1767"/>
      <c r="BV122" s="1767"/>
      <c r="BW122" s="1767"/>
      <c r="BX122" s="1767"/>
      <c r="BY122" s="1767"/>
      <c r="BZ122" s="1767"/>
      <c r="CA122" s="1767"/>
      <c r="CB122" s="1767"/>
      <c r="CC122" s="1767"/>
      <c r="CD122" s="1767"/>
      <c r="CE122" s="1767"/>
      <c r="CF122" s="1767"/>
    </row>
    <row r="123" spans="1:84" ht="11.25" customHeight="1">
      <c r="A123" s="1726"/>
      <c r="B123" s="1083"/>
      <c r="C123" s="348"/>
      <c r="D123" s="2609"/>
      <c r="E123" s="2600"/>
      <c r="F123" s="2365" t="s">
        <v>100</v>
      </c>
      <c r="G123" s="2602"/>
      <c r="H123" s="2371"/>
      <c r="I123" s="2604"/>
      <c r="J123" s="2605"/>
      <c r="K123" s="2607"/>
      <c r="L123" s="581"/>
      <c r="M123" s="582"/>
      <c r="N123" s="583" t="s">
        <v>652</v>
      </c>
      <c r="O123" s="583"/>
      <c r="P123" s="583"/>
      <c r="Q123" s="583"/>
      <c r="R123" s="584"/>
      <c r="S123" s="2439"/>
      <c r="T123" s="653"/>
      <c r="U123" s="2609"/>
      <c r="V123" s="2609"/>
      <c r="W123" s="1767"/>
      <c r="X123" s="1767"/>
      <c r="Y123" s="1767"/>
      <c r="Z123" s="1767"/>
      <c r="AA123" s="1767"/>
      <c r="AB123" s="1767"/>
      <c r="AC123" s="2609"/>
      <c r="AD123" s="1767"/>
      <c r="AE123" s="1767"/>
      <c r="AF123" s="1767"/>
      <c r="AG123" s="1767"/>
      <c r="AH123" s="1767"/>
      <c r="AI123" s="1767"/>
      <c r="AJ123" s="1767"/>
      <c r="AK123" s="1767"/>
      <c r="AL123" s="1767"/>
      <c r="AM123" s="1767"/>
      <c r="AN123" s="1767"/>
      <c r="AO123" s="1767"/>
      <c r="AP123" s="1767"/>
      <c r="AQ123" s="1767"/>
      <c r="AR123" s="1767"/>
      <c r="AS123" s="1767"/>
      <c r="AT123" s="1767"/>
      <c r="AU123" s="1767"/>
      <c r="AV123" s="1767"/>
      <c r="AW123" s="1767"/>
      <c r="AX123" s="1767"/>
      <c r="AY123" s="1767"/>
      <c r="AZ123" s="1767"/>
      <c r="BA123" s="1767"/>
      <c r="BB123" s="1767"/>
      <c r="BC123" s="1767"/>
      <c r="BD123" s="1767"/>
      <c r="BE123" s="1767"/>
      <c r="BF123" s="1767"/>
      <c r="BG123" s="1767"/>
      <c r="BH123" s="1767"/>
      <c r="BI123" s="1767"/>
      <c r="BJ123" s="1767"/>
      <c r="BK123" s="1767"/>
      <c r="BL123" s="1767"/>
      <c r="BM123" s="1767"/>
      <c r="BN123" s="1767"/>
      <c r="BO123" s="1767"/>
      <c r="BP123" s="1767"/>
      <c r="BQ123" s="1767"/>
      <c r="BR123" s="1767"/>
      <c r="BS123" s="1767"/>
      <c r="BT123" s="1767"/>
      <c r="BU123" s="1767"/>
      <c r="BV123" s="1767"/>
      <c r="BW123" s="1767"/>
      <c r="BX123" s="1767"/>
      <c r="BY123" s="1767"/>
      <c r="BZ123" s="1767"/>
      <c r="CA123" s="1767"/>
      <c r="CB123" s="1767"/>
      <c r="CC123" s="1767"/>
      <c r="CD123" s="1767"/>
      <c r="CE123" s="1767"/>
      <c r="CF123" s="1767"/>
    </row>
    <row r="124" spans="1:84" ht="11.25" customHeight="1">
      <c r="A124" s="1726"/>
      <c r="B124" s="1083"/>
      <c r="C124" s="348"/>
      <c r="D124" s="2609"/>
      <c r="E124" s="2601"/>
      <c r="F124" s="2365" t="s">
        <v>100</v>
      </c>
      <c r="G124" s="2603"/>
      <c r="H124" s="581" t="s">
        <v>22</v>
      </c>
      <c r="I124" s="582"/>
      <c r="J124" s="583" t="s">
        <v>656</v>
      </c>
      <c r="K124" s="583"/>
      <c r="L124" s="583"/>
      <c r="M124" s="583"/>
      <c r="N124" s="583"/>
      <c r="O124" s="583"/>
      <c r="P124" s="583"/>
      <c r="Q124" s="583"/>
      <c r="R124" s="584"/>
      <c r="S124" s="2439"/>
      <c r="T124" s="653"/>
      <c r="U124" s="2609"/>
      <c r="V124" s="2609"/>
      <c r="W124" s="1767"/>
      <c r="X124" s="1767"/>
      <c r="Y124" s="1767"/>
      <c r="Z124" s="1767"/>
      <c r="AA124" s="1767"/>
      <c r="AB124" s="1767"/>
      <c r="AC124" s="2609"/>
      <c r="AD124" s="1767"/>
      <c r="AE124" s="1767"/>
      <c r="AF124" s="1767"/>
      <c r="AG124" s="1767"/>
      <c r="AH124" s="1767"/>
      <c r="AI124" s="1767"/>
      <c r="AJ124" s="1767"/>
      <c r="AK124" s="1767"/>
      <c r="AL124" s="1767"/>
      <c r="AM124" s="1767"/>
      <c r="AN124" s="1767"/>
      <c r="AO124" s="1767"/>
      <c r="AP124" s="1767"/>
      <c r="AQ124" s="1767"/>
      <c r="AR124" s="1767"/>
      <c r="AS124" s="1767"/>
      <c r="AT124" s="1767"/>
      <c r="AU124" s="1767"/>
      <c r="AV124" s="1767"/>
      <c r="AW124" s="1767"/>
      <c r="AX124" s="1767"/>
      <c r="AY124" s="1767"/>
      <c r="AZ124" s="1767"/>
      <c r="BA124" s="1767"/>
      <c r="BB124" s="1767"/>
      <c r="BC124" s="1767"/>
      <c r="BD124" s="1767"/>
      <c r="BE124" s="1767"/>
      <c r="BF124" s="1767"/>
      <c r="BG124" s="1767"/>
      <c r="BH124" s="1767"/>
      <c r="BI124" s="1767"/>
      <c r="BJ124" s="1767"/>
      <c r="BK124" s="1767"/>
      <c r="BL124" s="1767"/>
      <c r="BM124" s="1767"/>
      <c r="BN124" s="1767"/>
      <c r="BO124" s="1767"/>
      <c r="BP124" s="1767"/>
      <c r="BQ124" s="1767"/>
      <c r="BR124" s="1767"/>
      <c r="BS124" s="1767"/>
      <c r="BT124" s="1767"/>
      <c r="BU124" s="1767"/>
      <c r="BV124" s="1767"/>
      <c r="BW124" s="1767"/>
      <c r="BX124" s="1767"/>
      <c r="BY124" s="1767"/>
      <c r="BZ124" s="1767"/>
      <c r="CA124" s="1767"/>
      <c r="CB124" s="1767"/>
      <c r="CC124" s="1767"/>
      <c r="CD124" s="1767"/>
      <c r="CE124" s="1767"/>
      <c r="CF124" s="1767"/>
    </row>
    <row r="125" spans="1:84" ht="45" customHeight="1">
      <c r="A125" s="1726"/>
      <c r="B125" s="1083"/>
      <c r="C125" s="348"/>
      <c r="D125" s="2609"/>
      <c r="E125" s="2599" t="s">
        <v>104</v>
      </c>
      <c r="F125" s="2365" t="s">
        <v>91</v>
      </c>
      <c r="G125" s="2602" t="s">
        <v>713</v>
      </c>
      <c r="H125" s="226"/>
      <c r="I125" s="573" t="s">
        <v>100</v>
      </c>
      <c r="J125" s="1727" t="s">
        <v>648</v>
      </c>
      <c r="K125" s="574" t="s">
        <v>563</v>
      </c>
      <c r="L125" s="2479" t="s">
        <v>563</v>
      </c>
      <c r="M125" s="2415"/>
      <c r="N125" s="574" t="s">
        <v>563</v>
      </c>
      <c r="O125" s="574" t="s">
        <v>563</v>
      </c>
      <c r="P125" s="574" t="s">
        <v>563</v>
      </c>
      <c r="Q125" s="575">
        <f>SUM(Q126:Q128)</f>
        <v>346.37</v>
      </c>
      <c r="R125" s="575">
        <f>IF('Показатели ФХД'!M89=0,0,($Q$125/'Показатели ФХД'!M89)*100)</f>
        <v>0.29733474166262358</v>
      </c>
      <c r="S125" s="2439"/>
      <c r="T125" s="653" t="s">
        <v>646</v>
      </c>
      <c r="U125" s="2609"/>
      <c r="V125" s="2609"/>
      <c r="W125" s="1767"/>
      <c r="X125" s="1767"/>
      <c r="Y125" s="1767"/>
      <c r="Z125" s="1767"/>
      <c r="AA125" s="1767"/>
      <c r="AB125" s="1767"/>
      <c r="AC125" s="2609"/>
      <c r="AD125" s="1767"/>
      <c r="AE125" s="1767"/>
      <c r="AF125" s="1767"/>
      <c r="AG125" s="1767"/>
      <c r="AH125" s="1767"/>
      <c r="AI125" s="1767"/>
      <c r="AJ125" s="1767"/>
      <c r="AK125" s="1767"/>
      <c r="AL125" s="1767"/>
      <c r="AM125" s="1767"/>
      <c r="AN125" s="1767"/>
      <c r="AO125" s="1767"/>
      <c r="AP125" s="1767"/>
      <c r="AQ125" s="1767"/>
      <c r="AR125" s="1767"/>
      <c r="AS125" s="1767"/>
      <c r="AT125" s="1767"/>
      <c r="AU125" s="1767"/>
      <c r="AV125" s="1767"/>
      <c r="AW125" s="1767"/>
      <c r="AX125" s="1767"/>
      <c r="AY125" s="1767"/>
      <c r="AZ125" s="1767"/>
      <c r="BA125" s="1767"/>
      <c r="BB125" s="1767"/>
      <c r="BC125" s="1767"/>
      <c r="BD125" s="1767"/>
      <c r="BE125" s="1767"/>
      <c r="BF125" s="1767"/>
      <c r="BG125" s="1767"/>
      <c r="BH125" s="1767"/>
      <c r="BI125" s="1767"/>
      <c r="BJ125" s="1767"/>
      <c r="BK125" s="1767"/>
      <c r="BL125" s="1767"/>
      <c r="BM125" s="1767"/>
      <c r="BN125" s="1767"/>
      <c r="BO125" s="1767"/>
      <c r="BP125" s="1767"/>
      <c r="BQ125" s="1767"/>
      <c r="BR125" s="1767"/>
      <c r="BS125" s="1767"/>
      <c r="BT125" s="1767"/>
      <c r="BU125" s="1767"/>
      <c r="BV125" s="1767"/>
      <c r="BW125" s="1767"/>
      <c r="BX125" s="1767"/>
      <c r="BY125" s="1767"/>
      <c r="BZ125" s="1767"/>
      <c r="CA125" s="1767"/>
      <c r="CB125" s="1767"/>
      <c r="CC125" s="1767"/>
      <c r="CD125" s="1767"/>
      <c r="CE125" s="1767"/>
      <c r="CF125" s="1767"/>
    </row>
    <row r="126" spans="1:84" ht="11.25" customHeight="1">
      <c r="A126" s="1726"/>
      <c r="B126" s="1083"/>
      <c r="C126" s="348"/>
      <c r="D126" s="2609"/>
      <c r="E126" s="2600"/>
      <c r="F126" s="2365" t="s">
        <v>103</v>
      </c>
      <c r="G126" s="2602"/>
      <c r="H126" s="2371"/>
      <c r="I126" s="2604" t="s">
        <v>649</v>
      </c>
      <c r="J126" s="2605" t="s">
        <v>591</v>
      </c>
      <c r="K126" s="2606" t="s">
        <v>714</v>
      </c>
      <c r="L126" s="576"/>
      <c r="M126" s="577" t="s">
        <v>100</v>
      </c>
      <c r="N126" s="1715" t="s">
        <v>715</v>
      </c>
      <c r="O126" s="578">
        <f>Q126</f>
        <v>346.37</v>
      </c>
      <c r="P126" s="579" t="s">
        <v>569</v>
      </c>
      <c r="Q126" s="578">
        <v>346.37</v>
      </c>
      <c r="R126" s="580">
        <v>0</v>
      </c>
      <c r="S126" s="2439"/>
      <c r="T126" s="653"/>
      <c r="U126" s="2609"/>
      <c r="V126" s="2609"/>
      <c r="W126" s="1767"/>
      <c r="X126" s="1767"/>
      <c r="Y126" s="1767"/>
      <c r="Z126" s="1767"/>
      <c r="AA126" s="1767"/>
      <c r="AB126" s="1767"/>
      <c r="AC126" s="2609"/>
      <c r="AD126" s="1767"/>
      <c r="AE126" s="1767"/>
      <c r="AF126" s="1767"/>
      <c r="AG126" s="1767"/>
      <c r="AH126" s="1767"/>
      <c r="AI126" s="1767"/>
      <c r="AJ126" s="1767"/>
      <c r="AK126" s="1767"/>
      <c r="AL126" s="1767"/>
      <c r="AM126" s="1767"/>
      <c r="AN126" s="1767"/>
      <c r="AO126" s="1767"/>
      <c r="AP126" s="1767"/>
      <c r="AQ126" s="1767"/>
      <c r="AR126" s="1767"/>
      <c r="AS126" s="1767"/>
      <c r="AT126" s="1767"/>
      <c r="AU126" s="1767"/>
      <c r="AV126" s="1767"/>
      <c r="AW126" s="1767"/>
      <c r="AX126" s="1767"/>
      <c r="AY126" s="1767"/>
      <c r="AZ126" s="1767"/>
      <c r="BA126" s="1767"/>
      <c r="BB126" s="1767"/>
      <c r="BC126" s="1767"/>
      <c r="BD126" s="1767"/>
      <c r="BE126" s="1767"/>
      <c r="BF126" s="1767"/>
      <c r="BG126" s="1767"/>
      <c r="BH126" s="1767"/>
      <c r="BI126" s="1767"/>
      <c r="BJ126" s="1767"/>
      <c r="BK126" s="1767"/>
      <c r="BL126" s="1767"/>
      <c r="BM126" s="1767"/>
      <c r="BN126" s="1767"/>
      <c r="BO126" s="1767"/>
      <c r="BP126" s="1767"/>
      <c r="BQ126" s="1767"/>
      <c r="BR126" s="1767"/>
      <c r="BS126" s="1767"/>
      <c r="BT126" s="1767"/>
      <c r="BU126" s="1767"/>
      <c r="BV126" s="1767"/>
      <c r="BW126" s="1767"/>
      <c r="BX126" s="1767"/>
      <c r="BY126" s="1767"/>
      <c r="BZ126" s="1767"/>
      <c r="CA126" s="1767"/>
      <c r="CB126" s="1767"/>
      <c r="CC126" s="1767"/>
      <c r="CD126" s="1767"/>
      <c r="CE126" s="1767"/>
      <c r="CF126" s="1767"/>
    </row>
    <row r="127" spans="1:84" ht="11.25" customHeight="1">
      <c r="A127" s="1726"/>
      <c r="B127" s="1083"/>
      <c r="C127" s="348"/>
      <c r="D127" s="2609"/>
      <c r="E127" s="2600"/>
      <c r="F127" s="2365" t="s">
        <v>103</v>
      </c>
      <c r="G127" s="2602"/>
      <c r="H127" s="2371"/>
      <c r="I127" s="2604"/>
      <c r="J127" s="2605"/>
      <c r="K127" s="2607"/>
      <c r="L127" s="581"/>
      <c r="M127" s="582"/>
      <c r="N127" s="583" t="s">
        <v>652</v>
      </c>
      <c r="O127" s="583"/>
      <c r="P127" s="583"/>
      <c r="Q127" s="583"/>
      <c r="R127" s="584"/>
      <c r="S127" s="2439"/>
      <c r="T127" s="653"/>
      <c r="U127" s="2609"/>
      <c r="V127" s="2609"/>
      <c r="W127" s="1767"/>
      <c r="X127" s="1767"/>
      <c r="Y127" s="1767"/>
      <c r="Z127" s="1767"/>
      <c r="AA127" s="1767"/>
      <c r="AB127" s="1767"/>
      <c r="AC127" s="2609"/>
      <c r="AD127" s="1767"/>
      <c r="AE127" s="1767"/>
      <c r="AF127" s="1767"/>
      <c r="AG127" s="1767"/>
      <c r="AH127" s="1767"/>
      <c r="AI127" s="1767"/>
      <c r="AJ127" s="1767"/>
      <c r="AK127" s="1767"/>
      <c r="AL127" s="1767"/>
      <c r="AM127" s="1767"/>
      <c r="AN127" s="1767"/>
      <c r="AO127" s="1767"/>
      <c r="AP127" s="1767"/>
      <c r="AQ127" s="1767"/>
      <c r="AR127" s="1767"/>
      <c r="AS127" s="1767"/>
      <c r="AT127" s="1767"/>
      <c r="AU127" s="1767"/>
      <c r="AV127" s="1767"/>
      <c r="AW127" s="1767"/>
      <c r="AX127" s="1767"/>
      <c r="AY127" s="1767"/>
      <c r="AZ127" s="1767"/>
      <c r="BA127" s="1767"/>
      <c r="BB127" s="1767"/>
      <c r="BC127" s="1767"/>
      <c r="BD127" s="1767"/>
      <c r="BE127" s="1767"/>
      <c r="BF127" s="1767"/>
      <c r="BG127" s="1767"/>
      <c r="BH127" s="1767"/>
      <c r="BI127" s="1767"/>
      <c r="BJ127" s="1767"/>
      <c r="BK127" s="1767"/>
      <c r="BL127" s="1767"/>
      <c r="BM127" s="1767"/>
      <c r="BN127" s="1767"/>
      <c r="BO127" s="1767"/>
      <c r="BP127" s="1767"/>
      <c r="BQ127" s="1767"/>
      <c r="BR127" s="1767"/>
      <c r="BS127" s="1767"/>
      <c r="BT127" s="1767"/>
      <c r="BU127" s="1767"/>
      <c r="BV127" s="1767"/>
      <c r="BW127" s="1767"/>
      <c r="BX127" s="1767"/>
      <c r="BY127" s="1767"/>
      <c r="BZ127" s="1767"/>
      <c r="CA127" s="1767"/>
      <c r="CB127" s="1767"/>
      <c r="CC127" s="1767"/>
      <c r="CD127" s="1767"/>
      <c r="CE127" s="1767"/>
      <c r="CF127" s="1767"/>
    </row>
    <row r="128" spans="1:84" ht="11.25" customHeight="1">
      <c r="A128" s="1726"/>
      <c r="B128" s="1083"/>
      <c r="C128" s="348"/>
      <c r="D128" s="2609"/>
      <c r="E128" s="2601"/>
      <c r="F128" s="2365" t="s">
        <v>103</v>
      </c>
      <c r="G128" s="2603"/>
      <c r="H128" s="581" t="s">
        <v>22</v>
      </c>
      <c r="I128" s="582"/>
      <c r="J128" s="583" t="s">
        <v>656</v>
      </c>
      <c r="K128" s="583"/>
      <c r="L128" s="583"/>
      <c r="M128" s="583"/>
      <c r="N128" s="583"/>
      <c r="O128" s="583"/>
      <c r="P128" s="583"/>
      <c r="Q128" s="583"/>
      <c r="R128" s="584"/>
      <c r="S128" s="2439"/>
      <c r="T128" s="653"/>
      <c r="U128" s="2609"/>
      <c r="V128" s="2609"/>
      <c r="W128" s="1767"/>
      <c r="X128" s="1767"/>
      <c r="Y128" s="1767"/>
      <c r="Z128" s="1767"/>
      <c r="AA128" s="1767"/>
      <c r="AB128" s="1767"/>
      <c r="AC128" s="2609"/>
      <c r="AD128" s="1767"/>
      <c r="AE128" s="1767"/>
      <c r="AF128" s="1767"/>
      <c r="AG128" s="1767"/>
      <c r="AH128" s="1767"/>
      <c r="AI128" s="1767"/>
      <c r="AJ128" s="1767"/>
      <c r="AK128" s="1767"/>
      <c r="AL128" s="1767"/>
      <c r="AM128" s="1767"/>
      <c r="AN128" s="1767"/>
      <c r="AO128" s="1767"/>
      <c r="AP128" s="1767"/>
      <c r="AQ128" s="1767"/>
      <c r="AR128" s="1767"/>
      <c r="AS128" s="1767"/>
      <c r="AT128" s="1767"/>
      <c r="AU128" s="1767"/>
      <c r="AV128" s="1767"/>
      <c r="AW128" s="1767"/>
      <c r="AX128" s="1767"/>
      <c r="AY128" s="1767"/>
      <c r="AZ128" s="1767"/>
      <c r="BA128" s="1767"/>
      <c r="BB128" s="1767"/>
      <c r="BC128" s="1767"/>
      <c r="BD128" s="1767"/>
      <c r="BE128" s="1767"/>
      <c r="BF128" s="1767"/>
      <c r="BG128" s="1767"/>
      <c r="BH128" s="1767"/>
      <c r="BI128" s="1767"/>
      <c r="BJ128" s="1767"/>
      <c r="BK128" s="1767"/>
      <c r="BL128" s="1767"/>
      <c r="BM128" s="1767"/>
      <c r="BN128" s="1767"/>
      <c r="BO128" s="1767"/>
      <c r="BP128" s="1767"/>
      <c r="BQ128" s="1767"/>
      <c r="BR128" s="1767"/>
      <c r="BS128" s="1767"/>
      <c r="BT128" s="1767"/>
      <c r="BU128" s="1767"/>
      <c r="BV128" s="1767"/>
      <c r="BW128" s="1767"/>
      <c r="BX128" s="1767"/>
      <c r="BY128" s="1767"/>
      <c r="BZ128" s="1767"/>
      <c r="CA128" s="1767"/>
      <c r="CB128" s="1767"/>
      <c r="CC128" s="1767"/>
      <c r="CD128" s="1767"/>
      <c r="CE128" s="1767"/>
      <c r="CF128" s="1767"/>
    </row>
    <row r="129" spans="1:84" ht="45" customHeight="1">
      <c r="A129" s="1726"/>
      <c r="B129" s="1083"/>
      <c r="C129" s="348"/>
      <c r="D129" s="2609"/>
      <c r="E129" s="2599" t="s">
        <v>104</v>
      </c>
      <c r="F129" s="2365" t="s">
        <v>92</v>
      </c>
      <c r="G129" s="2602" t="s">
        <v>716</v>
      </c>
      <c r="H129" s="226"/>
      <c r="I129" s="573" t="s">
        <v>100</v>
      </c>
      <c r="J129" s="1727" t="s">
        <v>648</v>
      </c>
      <c r="K129" s="574" t="s">
        <v>563</v>
      </c>
      <c r="L129" s="2479" t="s">
        <v>563</v>
      </c>
      <c r="M129" s="2415"/>
      <c r="N129" s="574" t="s">
        <v>563</v>
      </c>
      <c r="O129" s="574" t="s">
        <v>563</v>
      </c>
      <c r="P129" s="574" t="s">
        <v>563</v>
      </c>
      <c r="Q129" s="575">
        <f>SUM(Q130:Q132)</f>
        <v>13367.04</v>
      </c>
      <c r="R129" s="575">
        <f>IF('Показатели ФХД'!M89=0,0,($Q$129/'Показатели ФХД'!M89)*100)</f>
        <v>11.474681367306511</v>
      </c>
      <c r="S129" s="2439"/>
      <c r="T129" s="653" t="s">
        <v>646</v>
      </c>
      <c r="U129" s="2609"/>
      <c r="V129" s="2609"/>
      <c r="W129" s="1767"/>
      <c r="X129" s="1767"/>
      <c r="Y129" s="1767"/>
      <c r="Z129" s="1767"/>
      <c r="AA129" s="1767"/>
      <c r="AB129" s="1767"/>
      <c r="AC129" s="2609"/>
      <c r="AD129" s="1767"/>
      <c r="AE129" s="1767"/>
      <c r="AF129" s="1767"/>
      <c r="AG129" s="1767"/>
      <c r="AH129" s="1767"/>
      <c r="AI129" s="1767"/>
      <c r="AJ129" s="1767"/>
      <c r="AK129" s="1767"/>
      <c r="AL129" s="1767"/>
      <c r="AM129" s="1767"/>
      <c r="AN129" s="1767"/>
      <c r="AO129" s="1767"/>
      <c r="AP129" s="1767"/>
      <c r="AQ129" s="1767"/>
      <c r="AR129" s="1767"/>
      <c r="AS129" s="1767"/>
      <c r="AT129" s="1767"/>
      <c r="AU129" s="1767"/>
      <c r="AV129" s="1767"/>
      <c r="AW129" s="1767"/>
      <c r="AX129" s="1767"/>
      <c r="AY129" s="1767"/>
      <c r="AZ129" s="1767"/>
      <c r="BA129" s="1767"/>
      <c r="BB129" s="1767"/>
      <c r="BC129" s="1767"/>
      <c r="BD129" s="1767"/>
      <c r="BE129" s="1767"/>
      <c r="BF129" s="1767"/>
      <c r="BG129" s="1767"/>
      <c r="BH129" s="1767"/>
      <c r="BI129" s="1767"/>
      <c r="BJ129" s="1767"/>
      <c r="BK129" s="1767"/>
      <c r="BL129" s="1767"/>
      <c r="BM129" s="1767"/>
      <c r="BN129" s="1767"/>
      <c r="BO129" s="1767"/>
      <c r="BP129" s="1767"/>
      <c r="BQ129" s="1767"/>
      <c r="BR129" s="1767"/>
      <c r="BS129" s="1767"/>
      <c r="BT129" s="1767"/>
      <c r="BU129" s="1767"/>
      <c r="BV129" s="1767"/>
      <c r="BW129" s="1767"/>
      <c r="BX129" s="1767"/>
      <c r="BY129" s="1767"/>
      <c r="BZ129" s="1767"/>
      <c r="CA129" s="1767"/>
      <c r="CB129" s="1767"/>
      <c r="CC129" s="1767"/>
      <c r="CD129" s="1767"/>
      <c r="CE129" s="1767"/>
      <c r="CF129" s="1767"/>
    </row>
    <row r="130" spans="1:84" ht="11.25" customHeight="1">
      <c r="A130" s="1726"/>
      <c r="B130" s="1083"/>
      <c r="C130" s="348"/>
      <c r="D130" s="2609"/>
      <c r="E130" s="2600"/>
      <c r="F130" s="2365" t="s">
        <v>91</v>
      </c>
      <c r="G130" s="2602"/>
      <c r="H130" s="2371"/>
      <c r="I130" s="2604" t="s">
        <v>649</v>
      </c>
      <c r="J130" s="2605" t="s">
        <v>588</v>
      </c>
      <c r="K130" s="2606" t="s">
        <v>717</v>
      </c>
      <c r="L130" s="576"/>
      <c r="M130" s="577" t="s">
        <v>100</v>
      </c>
      <c r="N130" s="1715" t="s">
        <v>718</v>
      </c>
      <c r="O130" s="578">
        <f>Q130</f>
        <v>13367.04</v>
      </c>
      <c r="P130" s="579" t="s">
        <v>569</v>
      </c>
      <c r="Q130" s="578">
        <v>13367.04</v>
      </c>
      <c r="R130" s="580">
        <v>0</v>
      </c>
      <c r="S130" s="2439"/>
      <c r="T130" s="653"/>
      <c r="U130" s="2609"/>
      <c r="V130" s="2609"/>
      <c r="W130" s="1767"/>
      <c r="X130" s="1767"/>
      <c r="Y130" s="1767"/>
      <c r="Z130" s="1767"/>
      <c r="AA130" s="1767"/>
      <c r="AB130" s="1767"/>
      <c r="AC130" s="2609"/>
      <c r="AD130" s="1767"/>
      <c r="AE130" s="1767"/>
      <c r="AF130" s="1767"/>
      <c r="AG130" s="1767"/>
      <c r="AH130" s="1767"/>
      <c r="AI130" s="1767"/>
      <c r="AJ130" s="1767"/>
      <c r="AK130" s="1767"/>
      <c r="AL130" s="1767"/>
      <c r="AM130" s="1767"/>
      <c r="AN130" s="1767"/>
      <c r="AO130" s="1767"/>
      <c r="AP130" s="1767"/>
      <c r="AQ130" s="1767"/>
      <c r="AR130" s="1767"/>
      <c r="AS130" s="1767"/>
      <c r="AT130" s="1767"/>
      <c r="AU130" s="1767"/>
      <c r="AV130" s="1767"/>
      <c r="AW130" s="1767"/>
      <c r="AX130" s="1767"/>
      <c r="AY130" s="1767"/>
      <c r="AZ130" s="1767"/>
      <c r="BA130" s="1767"/>
      <c r="BB130" s="1767"/>
      <c r="BC130" s="1767"/>
      <c r="BD130" s="1767"/>
      <c r="BE130" s="1767"/>
      <c r="BF130" s="1767"/>
      <c r="BG130" s="1767"/>
      <c r="BH130" s="1767"/>
      <c r="BI130" s="1767"/>
      <c r="BJ130" s="1767"/>
      <c r="BK130" s="1767"/>
      <c r="BL130" s="1767"/>
      <c r="BM130" s="1767"/>
      <c r="BN130" s="1767"/>
      <c r="BO130" s="1767"/>
      <c r="BP130" s="1767"/>
      <c r="BQ130" s="1767"/>
      <c r="BR130" s="1767"/>
      <c r="BS130" s="1767"/>
      <c r="BT130" s="1767"/>
      <c r="BU130" s="1767"/>
      <c r="BV130" s="1767"/>
      <c r="BW130" s="1767"/>
      <c r="BX130" s="1767"/>
      <c r="BY130" s="1767"/>
      <c r="BZ130" s="1767"/>
      <c r="CA130" s="1767"/>
      <c r="CB130" s="1767"/>
      <c r="CC130" s="1767"/>
      <c r="CD130" s="1767"/>
      <c r="CE130" s="1767"/>
      <c r="CF130" s="1767"/>
    </row>
    <row r="131" spans="1:84" ht="11.25" customHeight="1">
      <c r="A131" s="1726"/>
      <c r="B131" s="1083"/>
      <c r="C131" s="348"/>
      <c r="D131" s="2609"/>
      <c r="E131" s="2600"/>
      <c r="F131" s="2365" t="s">
        <v>91</v>
      </c>
      <c r="G131" s="2602"/>
      <c r="H131" s="2371"/>
      <c r="I131" s="2604"/>
      <c r="J131" s="2605"/>
      <c r="K131" s="2607"/>
      <c r="L131" s="581"/>
      <c r="M131" s="582"/>
      <c r="N131" s="583" t="s">
        <v>652</v>
      </c>
      <c r="O131" s="583"/>
      <c r="P131" s="583"/>
      <c r="Q131" s="583"/>
      <c r="R131" s="584"/>
      <c r="S131" s="2439"/>
      <c r="T131" s="653"/>
      <c r="U131" s="2609"/>
      <c r="V131" s="2609"/>
      <c r="W131" s="1767"/>
      <c r="X131" s="1767"/>
      <c r="Y131" s="1767"/>
      <c r="Z131" s="1767"/>
      <c r="AA131" s="1767"/>
      <c r="AB131" s="1767"/>
      <c r="AC131" s="2609"/>
      <c r="AD131" s="1767"/>
      <c r="AE131" s="1767"/>
      <c r="AF131" s="1767"/>
      <c r="AG131" s="1767"/>
      <c r="AH131" s="1767"/>
      <c r="AI131" s="1767"/>
      <c r="AJ131" s="1767"/>
      <c r="AK131" s="1767"/>
      <c r="AL131" s="1767"/>
      <c r="AM131" s="1767"/>
      <c r="AN131" s="1767"/>
      <c r="AO131" s="1767"/>
      <c r="AP131" s="1767"/>
      <c r="AQ131" s="1767"/>
      <c r="AR131" s="1767"/>
      <c r="AS131" s="1767"/>
      <c r="AT131" s="1767"/>
      <c r="AU131" s="1767"/>
      <c r="AV131" s="1767"/>
      <c r="AW131" s="1767"/>
      <c r="AX131" s="1767"/>
      <c r="AY131" s="1767"/>
      <c r="AZ131" s="1767"/>
      <c r="BA131" s="1767"/>
      <c r="BB131" s="1767"/>
      <c r="BC131" s="1767"/>
      <c r="BD131" s="1767"/>
      <c r="BE131" s="1767"/>
      <c r="BF131" s="1767"/>
      <c r="BG131" s="1767"/>
      <c r="BH131" s="1767"/>
      <c r="BI131" s="1767"/>
      <c r="BJ131" s="1767"/>
      <c r="BK131" s="1767"/>
      <c r="BL131" s="1767"/>
      <c r="BM131" s="1767"/>
      <c r="BN131" s="1767"/>
      <c r="BO131" s="1767"/>
      <c r="BP131" s="1767"/>
      <c r="BQ131" s="1767"/>
      <c r="BR131" s="1767"/>
      <c r="BS131" s="1767"/>
      <c r="BT131" s="1767"/>
      <c r="BU131" s="1767"/>
      <c r="BV131" s="1767"/>
      <c r="BW131" s="1767"/>
      <c r="BX131" s="1767"/>
      <c r="BY131" s="1767"/>
      <c r="BZ131" s="1767"/>
      <c r="CA131" s="1767"/>
      <c r="CB131" s="1767"/>
      <c r="CC131" s="1767"/>
      <c r="CD131" s="1767"/>
      <c r="CE131" s="1767"/>
      <c r="CF131" s="1767"/>
    </row>
    <row r="132" spans="1:84" ht="11.25" customHeight="1">
      <c r="A132" s="1726"/>
      <c r="B132" s="1083"/>
      <c r="C132" s="348"/>
      <c r="D132" s="2609"/>
      <c r="E132" s="2601"/>
      <c r="F132" s="2365" t="s">
        <v>91</v>
      </c>
      <c r="G132" s="2603"/>
      <c r="H132" s="581" t="s">
        <v>22</v>
      </c>
      <c r="I132" s="582"/>
      <c r="J132" s="583" t="s">
        <v>656</v>
      </c>
      <c r="K132" s="583"/>
      <c r="L132" s="583"/>
      <c r="M132" s="583"/>
      <c r="N132" s="583"/>
      <c r="O132" s="583"/>
      <c r="P132" s="583"/>
      <c r="Q132" s="583"/>
      <c r="R132" s="584"/>
      <c r="S132" s="2439"/>
      <c r="T132" s="653"/>
      <c r="U132" s="2609"/>
      <c r="V132" s="2609"/>
      <c r="W132" s="1767"/>
      <c r="X132" s="1767"/>
      <c r="Y132" s="1767"/>
      <c r="Z132" s="1767"/>
      <c r="AA132" s="1767"/>
      <c r="AB132" s="1767"/>
      <c r="AC132" s="2609"/>
      <c r="AD132" s="1767"/>
      <c r="AE132" s="1767"/>
      <c r="AF132" s="1767"/>
      <c r="AG132" s="1767"/>
      <c r="AH132" s="1767"/>
      <c r="AI132" s="1767"/>
      <c r="AJ132" s="1767"/>
      <c r="AK132" s="1767"/>
      <c r="AL132" s="1767"/>
      <c r="AM132" s="1767"/>
      <c r="AN132" s="1767"/>
      <c r="AO132" s="1767"/>
      <c r="AP132" s="1767"/>
      <c r="AQ132" s="1767"/>
      <c r="AR132" s="1767"/>
      <c r="AS132" s="1767"/>
      <c r="AT132" s="1767"/>
      <c r="AU132" s="1767"/>
      <c r="AV132" s="1767"/>
      <c r="AW132" s="1767"/>
      <c r="AX132" s="1767"/>
      <c r="AY132" s="1767"/>
      <c r="AZ132" s="1767"/>
      <c r="BA132" s="1767"/>
      <c r="BB132" s="1767"/>
      <c r="BC132" s="1767"/>
      <c r="BD132" s="1767"/>
      <c r="BE132" s="1767"/>
      <c r="BF132" s="1767"/>
      <c r="BG132" s="1767"/>
      <c r="BH132" s="1767"/>
      <c r="BI132" s="1767"/>
      <c r="BJ132" s="1767"/>
      <c r="BK132" s="1767"/>
      <c r="BL132" s="1767"/>
      <c r="BM132" s="1767"/>
      <c r="BN132" s="1767"/>
      <c r="BO132" s="1767"/>
      <c r="BP132" s="1767"/>
      <c r="BQ132" s="1767"/>
      <c r="BR132" s="1767"/>
      <c r="BS132" s="1767"/>
      <c r="BT132" s="1767"/>
      <c r="BU132" s="1767"/>
      <c r="BV132" s="1767"/>
      <c r="BW132" s="1767"/>
      <c r="BX132" s="1767"/>
      <c r="BY132" s="1767"/>
      <c r="BZ132" s="1767"/>
      <c r="CA132" s="1767"/>
      <c r="CB132" s="1767"/>
      <c r="CC132" s="1767"/>
      <c r="CD132" s="1767"/>
      <c r="CE132" s="1767"/>
      <c r="CF132" s="1767"/>
    </row>
    <row r="133" spans="1:84" ht="11.25" customHeight="1">
      <c r="A133" s="1726"/>
      <c r="B133" s="1083"/>
      <c r="C133" s="348"/>
      <c r="D133" s="2611"/>
      <c r="E133" s="585" t="s">
        <v>22</v>
      </c>
      <c r="F133" s="1091" t="s">
        <v>22</v>
      </c>
      <c r="G133" s="1091" t="s">
        <v>681</v>
      </c>
      <c r="H133" s="587" t="s">
        <v>22</v>
      </c>
      <c r="I133" s="587"/>
      <c r="J133" s="587"/>
      <c r="K133" s="587"/>
      <c r="L133" s="587"/>
      <c r="M133" s="587"/>
      <c r="N133" s="587"/>
      <c r="O133" s="587"/>
      <c r="P133" s="587"/>
      <c r="Q133" s="587"/>
      <c r="R133" s="588"/>
      <c r="S133" s="589"/>
      <c r="T133" s="654"/>
      <c r="U133" s="2505"/>
      <c r="V133" s="2505"/>
      <c r="W133" s="1083"/>
      <c r="X133" s="1083"/>
      <c r="Y133" s="1083"/>
      <c r="Z133" s="1083"/>
      <c r="AA133" s="1559"/>
      <c r="AB133" s="1083"/>
      <c r="AC133" s="2617"/>
      <c r="AD133" s="565"/>
      <c r="AE133" s="1083"/>
      <c r="AF133" s="1083"/>
      <c r="AG133" s="1559"/>
      <c r="AH133" s="1559"/>
      <c r="AI133" s="1559"/>
      <c r="AJ133" s="1559"/>
      <c r="AK133" s="1559"/>
      <c r="AL133" s="1559"/>
      <c r="AM133" s="1559"/>
      <c r="AN133" s="1559"/>
      <c r="AO133" s="1559"/>
      <c r="AP133" s="1559"/>
      <c r="AQ133" s="1559"/>
      <c r="AR133" s="1559"/>
      <c r="AS133" s="1559"/>
      <c r="AT133" s="1559"/>
      <c r="AU133" s="1559"/>
      <c r="AV133" s="1559"/>
      <c r="AW133" s="1559"/>
      <c r="AX133" s="1559"/>
      <c r="AY133" s="1559"/>
      <c r="AZ133" s="1559"/>
      <c r="BA133" s="1559"/>
      <c r="BB133" s="1559"/>
      <c r="BC133" s="1559"/>
      <c r="BD133" s="1559"/>
      <c r="BE133" s="1559"/>
      <c r="BF133" s="1559"/>
      <c r="BG133" s="1559"/>
      <c r="BH133" s="1559"/>
      <c r="BI133" s="1559"/>
      <c r="BJ133" s="1559"/>
      <c r="BK133" s="1559"/>
      <c r="BL133" s="1559"/>
      <c r="BM133" s="1559"/>
      <c r="BN133" s="1559"/>
      <c r="BO133" s="1559"/>
      <c r="BP133" s="1559"/>
      <c r="BQ133" s="1559"/>
      <c r="BR133" s="1559"/>
      <c r="BS133" s="1559"/>
      <c r="BT133" s="1559"/>
      <c r="BU133" s="1559"/>
      <c r="BV133" s="1083"/>
      <c r="BW133" s="1083"/>
      <c r="BX133" s="1083"/>
      <c r="BY133" s="1083"/>
      <c r="BZ133" s="1083"/>
      <c r="CA133" s="1083"/>
      <c r="CB133" s="1083"/>
      <c r="CC133" s="1083"/>
      <c r="CD133" s="1083"/>
      <c r="CE133" s="1083"/>
      <c r="CF133" s="1767"/>
    </row>
    <row r="134" spans="1:84" ht="5.25" hidden="1" customHeight="1">
      <c r="A134" s="1713"/>
      <c r="B134" s="1559"/>
      <c r="C134" s="1559"/>
      <c r="D134" s="2611"/>
      <c r="E134" s="966"/>
      <c r="F134" s="966"/>
      <c r="G134" s="966"/>
      <c r="H134" s="966"/>
      <c r="I134" s="966"/>
      <c r="J134" s="966"/>
      <c r="K134" s="966"/>
      <c r="L134" s="966"/>
      <c r="M134" s="966"/>
      <c r="N134" s="966"/>
      <c r="O134" s="966"/>
      <c r="P134" s="966"/>
      <c r="Q134" s="967"/>
      <c r="R134" s="968"/>
      <c r="S134" s="969"/>
      <c r="T134" s="653" t="s">
        <v>646</v>
      </c>
      <c r="U134" s="2505">
        <v>1</v>
      </c>
      <c r="V134" s="2505" t="s">
        <v>600</v>
      </c>
      <c r="W134" s="1559"/>
      <c r="X134" s="1559"/>
      <c r="Y134" s="1559"/>
      <c r="Z134" s="1559"/>
      <c r="AA134" s="1559"/>
      <c r="AB134" s="1559"/>
      <c r="AC134" s="964"/>
      <c r="AD134" s="965"/>
      <c r="AE134" s="1559"/>
      <c r="AF134" s="1559"/>
      <c r="AG134" s="1559"/>
      <c r="AH134" s="1559"/>
      <c r="AI134" s="1559"/>
      <c r="AJ134" s="1559"/>
      <c r="AK134" s="1559"/>
      <c r="AL134" s="1559"/>
      <c r="AM134" s="1559"/>
      <c r="AN134" s="1559"/>
      <c r="AO134" s="1559"/>
      <c r="AP134" s="1559"/>
      <c r="AQ134" s="1559"/>
      <c r="AR134" s="1559"/>
      <c r="AS134" s="1559"/>
      <c r="AT134" s="1559"/>
      <c r="AU134" s="1559"/>
      <c r="AV134" s="1559"/>
      <c r="AW134" s="1559"/>
      <c r="AX134" s="1559"/>
      <c r="AY134" s="1559"/>
      <c r="AZ134" s="1559"/>
      <c r="BA134" s="1559"/>
      <c r="BB134" s="1559"/>
      <c r="BC134" s="1559"/>
      <c r="BD134" s="1559"/>
      <c r="BE134" s="1559"/>
      <c r="BF134" s="1559"/>
      <c r="BG134" s="1559"/>
      <c r="BH134" s="1559"/>
      <c r="BI134" s="1559"/>
      <c r="BJ134" s="1559"/>
      <c r="BK134" s="1559"/>
      <c r="BL134" s="1559"/>
      <c r="BM134" s="1559"/>
      <c r="BN134" s="1559"/>
      <c r="BO134" s="1559"/>
      <c r="BP134" s="1559"/>
      <c r="BQ134" s="1559"/>
      <c r="BR134" s="1559"/>
      <c r="BS134" s="1559"/>
      <c r="BT134" s="1559"/>
      <c r="BU134" s="1559"/>
      <c r="BV134" s="1559"/>
      <c r="BW134" s="1559"/>
      <c r="BX134" s="1559"/>
      <c r="BY134" s="1559"/>
      <c r="BZ134" s="1559"/>
      <c r="CA134" s="1559"/>
      <c r="CB134" s="1559"/>
      <c r="CC134" s="1559"/>
      <c r="CD134" s="1559"/>
      <c r="CE134" s="1559"/>
      <c r="CF134" s="1239"/>
    </row>
    <row r="135" spans="1:84" ht="5.25" hidden="1" customHeight="1">
      <c r="A135" s="1713"/>
      <c r="B135" s="1559"/>
      <c r="C135" s="1559"/>
      <c r="D135" s="2611"/>
      <c r="E135" s="571"/>
      <c r="F135" s="571"/>
      <c r="G135" s="571"/>
      <c r="H135" s="571"/>
      <c r="I135" s="571"/>
      <c r="J135" s="571"/>
      <c r="K135" s="571"/>
      <c r="L135" s="571"/>
      <c r="M135" s="571"/>
      <c r="N135" s="571"/>
      <c r="O135" s="571"/>
      <c r="P135" s="571"/>
      <c r="Q135" s="571"/>
      <c r="R135" s="571"/>
      <c r="S135" s="572"/>
      <c r="T135" s="654"/>
      <c r="U135" s="2505"/>
      <c r="V135" s="2505"/>
      <c r="W135" s="1559"/>
      <c r="X135" s="1559"/>
      <c r="Y135" s="1559"/>
      <c r="Z135" s="1559"/>
      <c r="AA135" s="1559"/>
      <c r="AB135" s="1559"/>
      <c r="AC135" s="964"/>
      <c r="AD135" s="965"/>
      <c r="AE135" s="1559"/>
      <c r="AF135" s="1559"/>
      <c r="AG135" s="1559"/>
      <c r="AH135" s="1559"/>
      <c r="AI135" s="1559"/>
      <c r="AJ135" s="1559"/>
      <c r="AK135" s="1559"/>
      <c r="AL135" s="1559"/>
      <c r="AM135" s="1559"/>
      <c r="AN135" s="1559"/>
      <c r="AO135" s="1559"/>
      <c r="AP135" s="1559"/>
      <c r="AQ135" s="1559"/>
      <c r="AR135" s="1559"/>
      <c r="AS135" s="1559"/>
      <c r="AT135" s="1559"/>
      <c r="AU135" s="1559"/>
      <c r="AV135" s="1559"/>
      <c r="AW135" s="1559"/>
      <c r="AX135" s="1559"/>
      <c r="AY135" s="1559"/>
      <c r="AZ135" s="1559"/>
      <c r="BA135" s="1559"/>
      <c r="BB135" s="1559"/>
      <c r="BC135" s="1559"/>
      <c r="BD135" s="1559"/>
      <c r="BE135" s="1559"/>
      <c r="BF135" s="1559"/>
      <c r="BG135" s="1559"/>
      <c r="BH135" s="1559"/>
      <c r="BI135" s="1559"/>
      <c r="BJ135" s="1559"/>
      <c r="BK135" s="1559"/>
      <c r="BL135" s="1559"/>
      <c r="BM135" s="1559"/>
      <c r="BN135" s="1559"/>
      <c r="BO135" s="1559"/>
      <c r="BP135" s="1559"/>
      <c r="BQ135" s="1559"/>
      <c r="BR135" s="1559"/>
      <c r="BS135" s="1559"/>
      <c r="BT135" s="1559"/>
      <c r="BU135" s="1559"/>
      <c r="BV135" s="1559"/>
      <c r="BW135" s="1559"/>
      <c r="BX135" s="1559"/>
      <c r="BY135" s="1559"/>
      <c r="BZ135" s="1559"/>
      <c r="CA135" s="1559"/>
      <c r="CB135" s="1559"/>
      <c r="CC135" s="1559"/>
      <c r="CD135" s="1559"/>
      <c r="CE135" s="1559"/>
      <c r="CF135" s="1239"/>
    </row>
    <row r="136" spans="1:84" ht="5.25" hidden="1" customHeight="1">
      <c r="A136" s="1713"/>
      <c r="B136" s="1559"/>
      <c r="C136" s="1559"/>
      <c r="D136" s="2612"/>
      <c r="E136" s="970"/>
      <c r="F136" s="971"/>
      <c r="G136" s="971" t="s">
        <v>22</v>
      </c>
      <c r="H136" s="972"/>
      <c r="I136" s="972"/>
      <c r="J136" s="972"/>
      <c r="K136" s="972"/>
      <c r="L136" s="972"/>
      <c r="M136" s="972"/>
      <c r="N136" s="972"/>
      <c r="O136" s="972"/>
      <c r="P136" s="972"/>
      <c r="Q136" s="972"/>
      <c r="R136" s="874"/>
      <c r="S136" s="973"/>
      <c r="T136" s="654"/>
      <c r="U136" s="2505"/>
      <c r="V136" s="2505"/>
      <c r="W136" s="1559"/>
      <c r="X136" s="1559"/>
      <c r="Y136" s="1559"/>
      <c r="Z136" s="1559"/>
      <c r="AA136" s="1559"/>
      <c r="AB136" s="1559"/>
      <c r="AC136" s="964"/>
      <c r="AD136" s="965"/>
      <c r="AE136" s="1559"/>
      <c r="AF136" s="1559"/>
      <c r="AG136" s="1559"/>
      <c r="AH136" s="1559"/>
      <c r="AI136" s="1559"/>
      <c r="AJ136" s="1559"/>
      <c r="AK136" s="1559"/>
      <c r="AL136" s="1559"/>
      <c r="AM136" s="1559"/>
      <c r="AN136" s="1559"/>
      <c r="AO136" s="1559"/>
      <c r="AP136" s="1559"/>
      <c r="AQ136" s="1559"/>
      <c r="AR136" s="1559"/>
      <c r="AS136" s="1559"/>
      <c r="AT136" s="1559"/>
      <c r="AU136" s="1559"/>
      <c r="AV136" s="1559"/>
      <c r="AW136" s="1559"/>
      <c r="AX136" s="1559"/>
      <c r="AY136" s="1559"/>
      <c r="AZ136" s="1559"/>
      <c r="BA136" s="1559"/>
      <c r="BB136" s="1559"/>
      <c r="BC136" s="1559"/>
      <c r="BD136" s="1559"/>
      <c r="BE136" s="1559"/>
      <c r="BF136" s="1559"/>
      <c r="BG136" s="1559"/>
      <c r="BH136" s="1559"/>
      <c r="BI136" s="1559"/>
      <c r="BJ136" s="1559"/>
      <c r="BK136" s="1559"/>
      <c r="BL136" s="1559"/>
      <c r="BM136" s="1559"/>
      <c r="BN136" s="1559"/>
      <c r="BO136" s="1559"/>
      <c r="BP136" s="1559"/>
      <c r="BQ136" s="1559"/>
      <c r="BR136" s="1559"/>
      <c r="BS136" s="1559"/>
      <c r="BT136" s="1559"/>
      <c r="BU136" s="1559"/>
      <c r="BV136" s="1559"/>
      <c r="BW136" s="1559"/>
      <c r="BX136" s="1559"/>
      <c r="BY136" s="1559"/>
      <c r="BZ136" s="1559"/>
      <c r="CA136" s="1559"/>
      <c r="CB136" s="1559"/>
      <c r="CC136" s="1559"/>
      <c r="CD136" s="1559"/>
      <c r="CE136" s="1559"/>
      <c r="CF136" s="1239"/>
    </row>
    <row r="137" spans="1:84" ht="15" customHeight="1">
      <c r="A137" s="559" t="s">
        <v>133</v>
      </c>
      <c r="B137" s="560"/>
      <c r="C137" s="560" t="s">
        <v>22</v>
      </c>
      <c r="D137" s="2610" t="s">
        <v>719</v>
      </c>
      <c r="E137" s="2613" t="s">
        <v>119</v>
      </c>
      <c r="F137" s="2614"/>
      <c r="G137" s="2615"/>
      <c r="H137" s="2616" t="str">
        <f>IF(A137="","",INDEX(DIFFERENTIATION_UNMERGE_VD,MATCH(A137,DIFFERENTIATION_ID_DIFF,0)))</f>
        <v>Производство тепловой энергии. Комбинированная выработка с уст. мощностью производства электрической энергии 25 МВт и более</v>
      </c>
      <c r="I137" s="2616"/>
      <c r="J137" s="2616"/>
      <c r="K137" s="2616"/>
      <c r="L137" s="2616"/>
      <c r="M137" s="2616"/>
      <c r="N137" s="2616"/>
      <c r="O137" s="2616"/>
      <c r="P137" s="2616"/>
      <c r="Q137" s="2616"/>
      <c r="R137" s="2616"/>
      <c r="S137" s="655"/>
      <c r="T137" s="652"/>
      <c r="U137" s="561"/>
      <c r="V137" s="561"/>
      <c r="W137" s="562"/>
      <c r="X137" s="562"/>
      <c r="Y137" s="562"/>
      <c r="Z137" s="562"/>
      <c r="AA137" s="563"/>
      <c r="AB137" s="564"/>
      <c r="AC137" s="2617"/>
      <c r="AD137" s="565"/>
      <c r="AE137" s="566" t="s">
        <v>22</v>
      </c>
      <c r="AF137" s="566"/>
      <c r="AG137" s="567" t="s">
        <v>643</v>
      </c>
      <c r="AH137" s="568">
        <v>3</v>
      </c>
      <c r="AI137" s="561"/>
      <c r="AJ137" s="561"/>
      <c r="AK137" s="561"/>
      <c r="AL137" s="561"/>
      <c r="AM137" s="561"/>
      <c r="AN137" s="561"/>
      <c r="AO137" s="561"/>
      <c r="AP137" s="561"/>
      <c r="AQ137" s="561"/>
      <c r="AR137" s="561"/>
      <c r="AS137" s="561"/>
      <c r="AT137" s="561"/>
      <c r="AU137" s="561"/>
      <c r="AV137" s="561"/>
      <c r="AW137" s="561"/>
      <c r="AX137" s="561"/>
      <c r="AY137" s="561"/>
      <c r="AZ137" s="561"/>
      <c r="BA137" s="561"/>
      <c r="BB137" s="561"/>
      <c r="BC137" s="561"/>
      <c r="BD137" s="561"/>
      <c r="BE137" s="561"/>
      <c r="BF137" s="561"/>
      <c r="BG137" s="561"/>
      <c r="BH137" s="561"/>
      <c r="BI137" s="561"/>
      <c r="BJ137" s="561"/>
      <c r="BK137" s="561"/>
      <c r="BL137" s="561"/>
      <c r="BM137" s="561"/>
      <c r="BN137" s="561"/>
      <c r="BO137" s="561"/>
      <c r="BP137" s="561"/>
      <c r="BQ137" s="561"/>
      <c r="BR137" s="561"/>
      <c r="BS137" s="561"/>
      <c r="BT137" s="561"/>
      <c r="BU137" s="561"/>
      <c r="BV137" s="562"/>
      <c r="BW137" s="562"/>
      <c r="BX137" s="562"/>
      <c r="BY137" s="562"/>
      <c r="BZ137" s="562"/>
      <c r="CA137" s="562"/>
      <c r="CB137" s="562"/>
      <c r="CC137" s="562"/>
      <c r="CD137" s="562"/>
      <c r="CE137" s="562"/>
      <c r="CF137" s="1767"/>
    </row>
    <row r="138" spans="1:84" ht="15" customHeight="1">
      <c r="A138" s="559"/>
      <c r="B138" s="560"/>
      <c r="C138" s="560"/>
      <c r="D138" s="2611"/>
      <c r="E138" s="2613" t="s">
        <v>581</v>
      </c>
      <c r="F138" s="2614"/>
      <c r="G138" s="2615"/>
      <c r="H138" s="2616" t="str">
        <f>IF(A137="","",INDEX(DIFFERENTIATION_UNMERGE_AREA,MATCH(A137,DIFFERENTIATION_ID_DIFF,0)))</f>
        <v>Территория 2</v>
      </c>
      <c r="I138" s="2616"/>
      <c r="J138" s="2616"/>
      <c r="K138" s="2616"/>
      <c r="L138" s="2616"/>
      <c r="M138" s="2616"/>
      <c r="N138" s="2616"/>
      <c r="O138" s="2616"/>
      <c r="P138" s="2616"/>
      <c r="Q138" s="2616"/>
      <c r="R138" s="2616"/>
      <c r="S138" s="655"/>
      <c r="T138" s="652"/>
      <c r="U138" s="561"/>
      <c r="V138" s="561"/>
      <c r="W138" s="562"/>
      <c r="X138" s="562"/>
      <c r="Y138" s="562"/>
      <c r="Z138" s="562"/>
      <c r="AA138" s="563"/>
      <c r="AB138" s="564"/>
      <c r="AC138" s="2617"/>
      <c r="AD138" s="565"/>
      <c r="AE138" s="566"/>
      <c r="AF138" s="566"/>
      <c r="AG138" s="567"/>
      <c r="AH138" s="568"/>
      <c r="AI138" s="561"/>
      <c r="AJ138" s="561"/>
      <c r="AK138" s="561"/>
      <c r="AL138" s="561"/>
      <c r="AM138" s="561"/>
      <c r="AN138" s="561"/>
      <c r="AO138" s="561"/>
      <c r="AP138" s="561"/>
      <c r="AQ138" s="561"/>
      <c r="AR138" s="561"/>
      <c r="AS138" s="561"/>
      <c r="AT138" s="561"/>
      <c r="AU138" s="561"/>
      <c r="AV138" s="561"/>
      <c r="AW138" s="561"/>
      <c r="AX138" s="561"/>
      <c r="AY138" s="561"/>
      <c r="AZ138" s="561"/>
      <c r="BA138" s="561"/>
      <c r="BB138" s="561"/>
      <c r="BC138" s="561"/>
      <c r="BD138" s="561"/>
      <c r="BE138" s="561"/>
      <c r="BF138" s="561"/>
      <c r="BG138" s="561"/>
      <c r="BH138" s="561"/>
      <c r="BI138" s="561"/>
      <c r="BJ138" s="561"/>
      <c r="BK138" s="561"/>
      <c r="BL138" s="561"/>
      <c r="BM138" s="561"/>
      <c r="BN138" s="561"/>
      <c r="BO138" s="561"/>
      <c r="BP138" s="561"/>
      <c r="BQ138" s="561"/>
      <c r="BR138" s="561"/>
      <c r="BS138" s="561"/>
      <c r="BT138" s="561"/>
      <c r="BU138" s="561"/>
      <c r="BV138" s="562"/>
      <c r="BW138" s="562"/>
      <c r="BX138" s="562"/>
      <c r="BY138" s="562"/>
      <c r="BZ138" s="562"/>
      <c r="CA138" s="562"/>
      <c r="CB138" s="562"/>
      <c r="CC138" s="562"/>
      <c r="CD138" s="562"/>
      <c r="CE138" s="562"/>
      <c r="CF138" s="1767"/>
    </row>
    <row r="139" spans="1:84" ht="15" customHeight="1">
      <c r="A139" s="559"/>
      <c r="B139" s="560"/>
      <c r="C139" s="560"/>
      <c r="D139" s="2611"/>
      <c r="E139" s="2613" t="s">
        <v>582</v>
      </c>
      <c r="F139" s="2614"/>
      <c r="G139" s="2615"/>
      <c r="H139" s="2616" t="str">
        <f>IF(A137="","",INDEX(DIFFERENTIATION_UNMERGE_SYSTEM,MATCH(A137,DIFFERENTIATION_ID_DIFF,0)))</f>
        <v>без дифференциации</v>
      </c>
      <c r="I139" s="2616"/>
      <c r="J139" s="2616"/>
      <c r="K139" s="2616"/>
      <c r="L139" s="2616"/>
      <c r="M139" s="2616"/>
      <c r="N139" s="2616"/>
      <c r="O139" s="2616"/>
      <c r="P139" s="2616"/>
      <c r="Q139" s="2616"/>
      <c r="R139" s="2616"/>
      <c r="S139" s="655"/>
      <c r="T139" s="652"/>
      <c r="U139" s="561"/>
      <c r="V139" s="561"/>
      <c r="W139" s="562"/>
      <c r="X139" s="562"/>
      <c r="Y139" s="562"/>
      <c r="Z139" s="562"/>
      <c r="AA139" s="563"/>
      <c r="AB139" s="564"/>
      <c r="AC139" s="2617"/>
      <c r="AD139" s="565"/>
      <c r="AE139" s="566"/>
      <c r="AF139" s="566"/>
      <c r="AG139" s="567"/>
      <c r="AH139" s="568"/>
      <c r="AI139" s="561"/>
      <c r="AJ139" s="561"/>
      <c r="AK139" s="561"/>
      <c r="AL139" s="561"/>
      <c r="AM139" s="561"/>
      <c r="AN139" s="561"/>
      <c r="AO139" s="561"/>
      <c r="AP139" s="561"/>
      <c r="AQ139" s="561"/>
      <c r="AR139" s="561"/>
      <c r="AS139" s="561"/>
      <c r="AT139" s="561"/>
      <c r="AU139" s="561"/>
      <c r="AV139" s="561"/>
      <c r="AW139" s="561"/>
      <c r="AX139" s="561"/>
      <c r="AY139" s="561"/>
      <c r="AZ139" s="561"/>
      <c r="BA139" s="561"/>
      <c r="BB139" s="561"/>
      <c r="BC139" s="561"/>
      <c r="BD139" s="561"/>
      <c r="BE139" s="561"/>
      <c r="BF139" s="561"/>
      <c r="BG139" s="561"/>
      <c r="BH139" s="561"/>
      <c r="BI139" s="561"/>
      <c r="BJ139" s="561"/>
      <c r="BK139" s="561"/>
      <c r="BL139" s="561"/>
      <c r="BM139" s="561"/>
      <c r="BN139" s="561"/>
      <c r="BO139" s="561"/>
      <c r="BP139" s="561"/>
      <c r="BQ139" s="561"/>
      <c r="BR139" s="561"/>
      <c r="BS139" s="561"/>
      <c r="BT139" s="561"/>
      <c r="BU139" s="561"/>
      <c r="BV139" s="562"/>
      <c r="BW139" s="562"/>
      <c r="BX139" s="562"/>
      <c r="BY139" s="562"/>
      <c r="BZ139" s="562"/>
      <c r="CA139" s="562"/>
      <c r="CB139" s="562"/>
      <c r="CC139" s="562"/>
      <c r="CD139" s="562"/>
      <c r="CE139" s="562"/>
      <c r="CF139" s="1767"/>
    </row>
    <row r="140" spans="1:84" ht="24.75" customHeight="1">
      <c r="A140" s="1726"/>
      <c r="B140" s="1083"/>
      <c r="C140" s="348"/>
      <c r="D140" s="2611"/>
      <c r="E140" s="2618" t="s">
        <v>644</v>
      </c>
      <c r="F140" s="2618"/>
      <c r="G140" s="2618"/>
      <c r="H140" s="2618"/>
      <c r="I140" s="2618"/>
      <c r="J140" s="2618"/>
      <c r="K140" s="2618"/>
      <c r="L140" s="2618"/>
      <c r="M140" s="2618"/>
      <c r="N140" s="2618"/>
      <c r="O140" s="2618"/>
      <c r="P140" s="2618"/>
      <c r="Q140" s="494">
        <f>SUMIF(T141:T188,"i",Q141:Q188)</f>
        <v>143991.76999999999</v>
      </c>
      <c r="R140" s="944"/>
      <c r="S140" s="1718" t="s">
        <v>645</v>
      </c>
      <c r="T140" s="653" t="s">
        <v>646</v>
      </c>
      <c r="U140" s="2505">
        <v>1</v>
      </c>
      <c r="V140" s="2505" t="str">
        <f>INDEX(B_FHD_FLAG_INDEX_1,1,MATCH(A137,B_FHD_FLAG_DIFFERENTIATION,0))</f>
        <v>есть</v>
      </c>
      <c r="W140" s="1083"/>
      <c r="X140" s="1083"/>
      <c r="Y140" s="1083"/>
      <c r="Z140" s="1083"/>
      <c r="AA140" s="1559"/>
      <c r="AB140" s="1083"/>
      <c r="AC140" s="2617"/>
      <c r="AD140" s="565"/>
      <c r="AE140" s="1083"/>
      <c r="AF140" s="1083"/>
      <c r="AG140" s="1559"/>
      <c r="AH140" s="1559"/>
      <c r="AI140" s="1559"/>
      <c r="AJ140" s="1559"/>
      <c r="AK140" s="1559"/>
      <c r="AL140" s="1559"/>
      <c r="AM140" s="1559"/>
      <c r="AN140" s="1559"/>
      <c r="AO140" s="1559"/>
      <c r="AP140" s="1559"/>
      <c r="AQ140" s="1559"/>
      <c r="AR140" s="1559"/>
      <c r="AS140" s="1559"/>
      <c r="AT140" s="1559"/>
      <c r="AU140" s="1559"/>
      <c r="AV140" s="1559"/>
      <c r="AW140" s="1559"/>
      <c r="AX140" s="1559"/>
      <c r="AY140" s="1559"/>
      <c r="AZ140" s="1559"/>
      <c r="BA140" s="1559"/>
      <c r="BB140" s="1559"/>
      <c r="BC140" s="1559"/>
      <c r="BD140" s="1559"/>
      <c r="BE140" s="1559"/>
      <c r="BF140" s="1559"/>
      <c r="BG140" s="1559"/>
      <c r="BH140" s="1559"/>
      <c r="BI140" s="1559"/>
      <c r="BJ140" s="1559"/>
      <c r="BK140" s="1559"/>
      <c r="BL140" s="1559"/>
      <c r="BM140" s="1559"/>
      <c r="BN140" s="1559"/>
      <c r="BO140" s="1559"/>
      <c r="BP140" s="1559"/>
      <c r="BQ140" s="1559"/>
      <c r="BR140" s="1559"/>
      <c r="BS140" s="1559"/>
      <c r="BT140" s="1559"/>
      <c r="BU140" s="1559"/>
      <c r="BV140" s="1083"/>
      <c r="BW140" s="1083"/>
      <c r="BX140" s="1083"/>
      <c r="BY140" s="1083"/>
      <c r="BZ140" s="1083"/>
      <c r="CA140" s="1083"/>
      <c r="CB140" s="1083"/>
      <c r="CC140" s="1083"/>
      <c r="CD140" s="1083"/>
      <c r="CE140" s="1083"/>
      <c r="CF140" s="1767"/>
    </row>
    <row r="141" spans="1:84" ht="11.25" hidden="1" customHeight="1">
      <c r="A141" s="1713"/>
      <c r="B141" s="1559"/>
      <c r="C141" s="1559"/>
      <c r="D141" s="2611"/>
      <c r="E141" s="571"/>
      <c r="F141" s="571">
        <v>0</v>
      </c>
      <c r="G141" s="571"/>
      <c r="H141" s="571"/>
      <c r="I141" s="571"/>
      <c r="J141" s="571"/>
      <c r="K141" s="571"/>
      <c r="L141" s="571"/>
      <c r="M141" s="571"/>
      <c r="N141" s="571"/>
      <c r="O141" s="571"/>
      <c r="P141" s="571"/>
      <c r="Q141" s="571"/>
      <c r="R141" s="571"/>
      <c r="S141" s="572"/>
      <c r="T141" s="654"/>
      <c r="U141" s="2505"/>
      <c r="V141" s="2505"/>
      <c r="W141" s="1559"/>
      <c r="X141" s="1559"/>
      <c r="Y141" s="1559"/>
      <c r="Z141" s="1559"/>
      <c r="AA141" s="1559"/>
      <c r="AB141" s="1083"/>
      <c r="AC141" s="2617"/>
      <c r="AD141" s="565"/>
      <c r="AE141" s="1083"/>
      <c r="AF141" s="1083"/>
      <c r="AG141" s="1559"/>
      <c r="AH141" s="1559"/>
      <c r="AI141" s="1559"/>
      <c r="AJ141" s="1559"/>
      <c r="AK141" s="1559"/>
      <c r="AL141" s="1559"/>
      <c r="AM141" s="1559"/>
      <c r="AN141" s="1559"/>
      <c r="AO141" s="1559"/>
      <c r="AP141" s="1559"/>
      <c r="AQ141" s="1559"/>
      <c r="AR141" s="1559"/>
      <c r="AS141" s="1559"/>
      <c r="AT141" s="1559"/>
      <c r="AU141" s="1559"/>
      <c r="AV141" s="1559"/>
      <c r="AW141" s="1559"/>
      <c r="AX141" s="1559"/>
      <c r="AY141" s="1559"/>
      <c r="AZ141" s="1559"/>
      <c r="BA141" s="1559"/>
      <c r="BB141" s="1559"/>
      <c r="BC141" s="1559"/>
      <c r="BD141" s="1559"/>
      <c r="BE141" s="1559"/>
      <c r="BF141" s="1559"/>
      <c r="BG141" s="1559"/>
      <c r="BH141" s="1559"/>
      <c r="BI141" s="1559"/>
      <c r="BJ141" s="1559"/>
      <c r="BK141" s="1559"/>
      <c r="BL141" s="1559"/>
      <c r="BM141" s="1559"/>
      <c r="BN141" s="1559"/>
      <c r="BO141" s="1559"/>
      <c r="BP141" s="1559"/>
      <c r="BQ141" s="1559"/>
      <c r="BR141" s="1559"/>
      <c r="BS141" s="1559"/>
      <c r="BT141" s="1559"/>
      <c r="BU141" s="1559"/>
      <c r="BV141" s="1559"/>
      <c r="BW141" s="1559"/>
      <c r="BX141" s="1559"/>
      <c r="BY141" s="1559"/>
      <c r="BZ141" s="1559"/>
      <c r="CA141" s="1559"/>
      <c r="CB141" s="1559"/>
      <c r="CC141" s="1559"/>
      <c r="CD141" s="1559"/>
      <c r="CE141" s="1559"/>
      <c r="CF141" s="1767"/>
    </row>
    <row r="142" spans="1:84" ht="45" customHeight="1">
      <c r="A142" s="1726"/>
      <c r="B142" s="1083"/>
      <c r="C142" s="348"/>
      <c r="D142" s="2609"/>
      <c r="E142" s="2599" t="s">
        <v>104</v>
      </c>
      <c r="F142" s="2365" t="s">
        <v>100</v>
      </c>
      <c r="G142" s="2602" t="s">
        <v>720</v>
      </c>
      <c r="H142" s="226"/>
      <c r="I142" s="573" t="s">
        <v>100</v>
      </c>
      <c r="J142" s="1727" t="s">
        <v>648</v>
      </c>
      <c r="K142" s="574" t="s">
        <v>563</v>
      </c>
      <c r="L142" s="2479" t="s">
        <v>563</v>
      </c>
      <c r="M142" s="2415"/>
      <c r="N142" s="574" t="s">
        <v>563</v>
      </c>
      <c r="O142" s="574" t="s">
        <v>563</v>
      </c>
      <c r="P142" s="574" t="s">
        <v>563</v>
      </c>
      <c r="Q142" s="575">
        <f>SUM(Q143:Q155)</f>
        <v>117671.06999999999</v>
      </c>
      <c r="R142" s="575">
        <f>IF('Показатели ФХД'!N89=0,0,($Q$142/'Показатели ФХД'!N89)*100)</f>
        <v>84.66474524357811</v>
      </c>
      <c r="S142" s="2439"/>
      <c r="T142" s="653" t="s">
        <v>646</v>
      </c>
      <c r="U142" s="2609"/>
      <c r="V142" s="2609"/>
      <c r="W142" s="1767"/>
      <c r="X142" s="1767"/>
      <c r="Y142" s="1767"/>
      <c r="Z142" s="1767"/>
      <c r="AA142" s="1767"/>
      <c r="AB142" s="1767"/>
      <c r="AC142" s="2609"/>
      <c r="AD142" s="1767"/>
      <c r="AE142" s="1767"/>
      <c r="AF142" s="1767"/>
      <c r="AG142" s="1767"/>
      <c r="AH142" s="1767"/>
      <c r="AI142" s="1767"/>
      <c r="AJ142" s="1767"/>
      <c r="AK142" s="1767"/>
      <c r="AL142" s="1767"/>
      <c r="AM142" s="1767"/>
      <c r="AN142" s="1767"/>
      <c r="AO142" s="1767"/>
      <c r="AP142" s="1767"/>
      <c r="AQ142" s="1767"/>
      <c r="AR142" s="1767"/>
      <c r="AS142" s="1767"/>
      <c r="AT142" s="1767"/>
      <c r="AU142" s="1767"/>
      <c r="AV142" s="1767"/>
      <c r="AW142" s="1767"/>
      <c r="AX142" s="1767"/>
      <c r="AY142" s="1767"/>
      <c r="AZ142" s="1767"/>
      <c r="BA142" s="1767"/>
      <c r="BB142" s="1767"/>
      <c r="BC142" s="1767"/>
      <c r="BD142" s="1767"/>
      <c r="BE142" s="1767"/>
      <c r="BF142" s="1767"/>
      <c r="BG142" s="1767"/>
      <c r="BH142" s="1767"/>
      <c r="BI142" s="1767"/>
      <c r="BJ142" s="1767"/>
      <c r="BK142" s="1767"/>
      <c r="BL142" s="1767"/>
      <c r="BM142" s="1767"/>
      <c r="BN142" s="1767"/>
      <c r="BO142" s="1767"/>
      <c r="BP142" s="1767"/>
      <c r="BQ142" s="1767"/>
      <c r="BR142" s="1767"/>
      <c r="BS142" s="1767"/>
      <c r="BT142" s="1767"/>
      <c r="BU142" s="1767"/>
      <c r="BV142" s="1767"/>
      <c r="BW142" s="1767"/>
      <c r="BX142" s="1767"/>
      <c r="BY142" s="1767"/>
      <c r="BZ142" s="1767"/>
      <c r="CA142" s="1767"/>
      <c r="CB142" s="1767"/>
      <c r="CC142" s="1767"/>
      <c r="CD142" s="1767"/>
      <c r="CE142" s="1767"/>
      <c r="CF142" s="1767"/>
    </row>
    <row r="143" spans="1:84" ht="11.25" customHeight="1">
      <c r="A143" s="1726"/>
      <c r="B143" s="1083"/>
      <c r="C143" s="348"/>
      <c r="D143" s="2609"/>
      <c r="E143" s="2600"/>
      <c r="F143" s="2365">
        <v>0</v>
      </c>
      <c r="G143" s="2602"/>
      <c r="H143" s="2371"/>
      <c r="I143" s="2604" t="s">
        <v>649</v>
      </c>
      <c r="J143" s="2605" t="s">
        <v>588</v>
      </c>
      <c r="K143" s="2606" t="s">
        <v>721</v>
      </c>
      <c r="L143" s="576"/>
      <c r="M143" s="577" t="s">
        <v>100</v>
      </c>
      <c r="N143" s="1715" t="s">
        <v>722</v>
      </c>
      <c r="O143" s="578">
        <f>Q143</f>
        <v>36784.5</v>
      </c>
      <c r="P143" s="579" t="s">
        <v>569</v>
      </c>
      <c r="Q143" s="578">
        <v>36784.5</v>
      </c>
      <c r="R143" s="580">
        <v>0</v>
      </c>
      <c r="S143" s="2439"/>
      <c r="T143" s="653"/>
      <c r="U143" s="2609"/>
      <c r="V143" s="2609"/>
      <c r="W143" s="1767"/>
      <c r="X143" s="1767"/>
      <c r="Y143" s="1767"/>
      <c r="Z143" s="1767"/>
      <c r="AA143" s="1767"/>
      <c r="AB143" s="1767"/>
      <c r="AC143" s="2609"/>
      <c r="AD143" s="1767"/>
      <c r="AE143" s="1767"/>
      <c r="AF143" s="1767"/>
      <c r="AG143" s="1767"/>
      <c r="AH143" s="1767"/>
      <c r="AI143" s="1767"/>
      <c r="AJ143" s="1767"/>
      <c r="AK143" s="1767"/>
      <c r="AL143" s="1767"/>
      <c r="AM143" s="1767"/>
      <c r="AN143" s="1767"/>
      <c r="AO143" s="1767"/>
      <c r="AP143" s="1767"/>
      <c r="AQ143" s="1767"/>
      <c r="AR143" s="1767"/>
      <c r="AS143" s="1767"/>
      <c r="AT143" s="1767"/>
      <c r="AU143" s="1767"/>
      <c r="AV143" s="1767"/>
      <c r="AW143" s="1767"/>
      <c r="AX143" s="1767"/>
      <c r="AY143" s="1767"/>
      <c r="AZ143" s="1767"/>
      <c r="BA143" s="1767"/>
      <c r="BB143" s="1767"/>
      <c r="BC143" s="1767"/>
      <c r="BD143" s="1767"/>
      <c r="BE143" s="1767"/>
      <c r="BF143" s="1767"/>
      <c r="BG143" s="1767"/>
      <c r="BH143" s="1767"/>
      <c r="BI143" s="1767"/>
      <c r="BJ143" s="1767"/>
      <c r="BK143" s="1767"/>
      <c r="BL143" s="1767"/>
      <c r="BM143" s="1767"/>
      <c r="BN143" s="1767"/>
      <c r="BO143" s="1767"/>
      <c r="BP143" s="1767"/>
      <c r="BQ143" s="1767"/>
      <c r="BR143" s="1767"/>
      <c r="BS143" s="1767"/>
      <c r="BT143" s="1767"/>
      <c r="BU143" s="1767"/>
      <c r="BV143" s="1767"/>
      <c r="BW143" s="1767"/>
      <c r="BX143" s="1767"/>
      <c r="BY143" s="1767"/>
      <c r="BZ143" s="1767"/>
      <c r="CA143" s="1767"/>
      <c r="CB143" s="1767"/>
      <c r="CC143" s="1767"/>
      <c r="CD143" s="1767"/>
      <c r="CE143" s="1767"/>
      <c r="CF143" s="1767"/>
    </row>
    <row r="144" spans="1:84" ht="11.25" customHeight="1">
      <c r="A144" s="1726"/>
      <c r="B144" s="1083"/>
      <c r="C144" s="348"/>
      <c r="D144" s="2609"/>
      <c r="E144" s="2600"/>
      <c r="F144" s="2365">
        <v>0</v>
      </c>
      <c r="G144" s="2602"/>
      <c r="H144" s="2371"/>
      <c r="I144" s="2604"/>
      <c r="J144" s="2605"/>
      <c r="K144" s="2607"/>
      <c r="L144" s="581"/>
      <c r="M144" s="582"/>
      <c r="N144" s="583" t="s">
        <v>652</v>
      </c>
      <c r="O144" s="583"/>
      <c r="P144" s="583"/>
      <c r="Q144" s="583"/>
      <c r="R144" s="584"/>
      <c r="S144" s="2439"/>
      <c r="T144" s="653"/>
      <c r="U144" s="2609"/>
      <c r="V144" s="2609"/>
      <c r="W144" s="1767"/>
      <c r="X144" s="1767"/>
      <c r="Y144" s="1767"/>
      <c r="Z144" s="1767"/>
      <c r="AA144" s="1767"/>
      <c r="AB144" s="1767"/>
      <c r="AC144" s="2609"/>
      <c r="AD144" s="1767"/>
      <c r="AE144" s="1767"/>
      <c r="AF144" s="1767"/>
      <c r="AG144" s="1767"/>
      <c r="AH144" s="1767"/>
      <c r="AI144" s="1767"/>
      <c r="AJ144" s="1767"/>
      <c r="AK144" s="1767"/>
      <c r="AL144" s="1767"/>
      <c r="AM144" s="1767"/>
      <c r="AN144" s="1767"/>
      <c r="AO144" s="1767"/>
      <c r="AP144" s="1767"/>
      <c r="AQ144" s="1767"/>
      <c r="AR144" s="1767"/>
      <c r="AS144" s="1767"/>
      <c r="AT144" s="1767"/>
      <c r="AU144" s="1767"/>
      <c r="AV144" s="1767"/>
      <c r="AW144" s="1767"/>
      <c r="AX144" s="1767"/>
      <c r="AY144" s="1767"/>
      <c r="AZ144" s="1767"/>
      <c r="BA144" s="1767"/>
      <c r="BB144" s="1767"/>
      <c r="BC144" s="1767"/>
      <c r="BD144" s="1767"/>
      <c r="BE144" s="1767"/>
      <c r="BF144" s="1767"/>
      <c r="BG144" s="1767"/>
      <c r="BH144" s="1767"/>
      <c r="BI144" s="1767"/>
      <c r="BJ144" s="1767"/>
      <c r="BK144" s="1767"/>
      <c r="BL144" s="1767"/>
      <c r="BM144" s="1767"/>
      <c r="BN144" s="1767"/>
      <c r="BO144" s="1767"/>
      <c r="BP144" s="1767"/>
      <c r="BQ144" s="1767"/>
      <c r="BR144" s="1767"/>
      <c r="BS144" s="1767"/>
      <c r="BT144" s="1767"/>
      <c r="BU144" s="1767"/>
      <c r="BV144" s="1767"/>
      <c r="BW144" s="1767"/>
      <c r="BX144" s="1767"/>
      <c r="BY144" s="1767"/>
      <c r="BZ144" s="1767"/>
      <c r="CA144" s="1767"/>
      <c r="CB144" s="1767"/>
      <c r="CC144" s="1767"/>
      <c r="CD144" s="1767"/>
      <c r="CE144" s="1767"/>
      <c r="CF144" s="1767"/>
    </row>
    <row r="145" spans="1:84" ht="11.25" customHeight="1">
      <c r="A145" s="1726"/>
      <c r="B145" s="1083"/>
      <c r="C145" s="348"/>
      <c r="D145" s="2609"/>
      <c r="E145" s="2608"/>
      <c r="F145" s="2608"/>
      <c r="G145" s="2608"/>
      <c r="H145" s="2371" t="s">
        <v>104</v>
      </c>
      <c r="I145" s="2604" t="s">
        <v>653</v>
      </c>
      <c r="J145" s="2605" t="s">
        <v>588</v>
      </c>
      <c r="K145" s="2606" t="s">
        <v>723</v>
      </c>
      <c r="L145" s="576"/>
      <c r="M145" s="577" t="s">
        <v>100</v>
      </c>
      <c r="N145" s="1715" t="s">
        <v>724</v>
      </c>
      <c r="O145" s="578">
        <f>Q145</f>
        <v>17451</v>
      </c>
      <c r="P145" s="579" t="s">
        <v>569</v>
      </c>
      <c r="Q145" s="578">
        <v>17451</v>
      </c>
      <c r="R145" s="580">
        <v>0</v>
      </c>
      <c r="S145" s="2609"/>
      <c r="T145" s="653"/>
      <c r="U145" s="2609"/>
      <c r="V145" s="2609"/>
      <c r="W145" s="1767"/>
      <c r="X145" s="1767"/>
      <c r="Y145" s="1767"/>
      <c r="Z145" s="1767"/>
      <c r="AA145" s="1767"/>
      <c r="AB145" s="1767"/>
      <c r="AC145" s="2609"/>
      <c r="AD145" s="1767"/>
      <c r="AE145" s="1767"/>
      <c r="AF145" s="1767"/>
      <c r="AG145" s="1767"/>
      <c r="AH145" s="1767"/>
      <c r="AI145" s="1767"/>
      <c r="AJ145" s="1767"/>
      <c r="AK145" s="1767"/>
      <c r="AL145" s="1767"/>
      <c r="AM145" s="1767"/>
      <c r="AN145" s="1767"/>
      <c r="AO145" s="1767"/>
      <c r="AP145" s="1767"/>
      <c r="AQ145" s="1767"/>
      <c r="AR145" s="1767"/>
      <c r="AS145" s="1767"/>
      <c r="AT145" s="1767"/>
      <c r="AU145" s="1767"/>
      <c r="AV145" s="1767"/>
      <c r="AW145" s="1767"/>
      <c r="AX145" s="1767"/>
      <c r="AY145" s="1767"/>
      <c r="AZ145" s="1767"/>
      <c r="BA145" s="1767"/>
      <c r="BB145" s="1767"/>
      <c r="BC145" s="1767"/>
      <c r="BD145" s="1767"/>
      <c r="BE145" s="1767"/>
      <c r="BF145" s="1767"/>
      <c r="BG145" s="1767"/>
      <c r="BH145" s="1767"/>
      <c r="BI145" s="1767"/>
      <c r="BJ145" s="1767"/>
      <c r="BK145" s="1767"/>
      <c r="BL145" s="1767"/>
      <c r="BM145" s="1767"/>
      <c r="BN145" s="1767"/>
      <c r="BO145" s="1767"/>
      <c r="BP145" s="1767"/>
      <c r="BQ145" s="1767"/>
      <c r="BR145" s="1767"/>
      <c r="BS145" s="1767"/>
      <c r="BT145" s="1767"/>
      <c r="BU145" s="1767"/>
      <c r="BV145" s="1767"/>
      <c r="BW145" s="1767"/>
      <c r="BX145" s="1767"/>
      <c r="BY145" s="1767"/>
      <c r="BZ145" s="1767"/>
      <c r="CA145" s="1767"/>
      <c r="CB145" s="1767"/>
      <c r="CC145" s="1767"/>
      <c r="CD145" s="1767"/>
      <c r="CE145" s="1767"/>
      <c r="CF145" s="1767"/>
    </row>
    <row r="146" spans="1:84" ht="11.25" customHeight="1">
      <c r="A146" s="1726"/>
      <c r="B146" s="1083"/>
      <c r="C146" s="348"/>
      <c r="D146" s="2609"/>
      <c r="E146" s="2608"/>
      <c r="F146" s="2608"/>
      <c r="G146" s="2608"/>
      <c r="H146" s="2371"/>
      <c r="I146" s="2604" t="s">
        <v>649</v>
      </c>
      <c r="J146" s="2605"/>
      <c r="K146" s="2607"/>
      <c r="L146" s="581"/>
      <c r="M146" s="582"/>
      <c r="N146" s="583" t="s">
        <v>652</v>
      </c>
      <c r="O146" s="583"/>
      <c r="P146" s="583"/>
      <c r="Q146" s="583"/>
      <c r="R146" s="584"/>
      <c r="S146" s="2609"/>
      <c r="T146" s="653"/>
      <c r="U146" s="2609"/>
      <c r="V146" s="2609"/>
      <c r="W146" s="1767"/>
      <c r="X146" s="1767"/>
      <c r="Y146" s="1767"/>
      <c r="Z146" s="1767"/>
      <c r="AA146" s="1767"/>
      <c r="AB146" s="1767"/>
      <c r="AC146" s="2609"/>
      <c r="AD146" s="1767"/>
      <c r="AE146" s="1767"/>
      <c r="AF146" s="1767"/>
      <c r="AG146" s="1767"/>
      <c r="AH146" s="1767"/>
      <c r="AI146" s="1767"/>
      <c r="AJ146" s="1767"/>
      <c r="AK146" s="1767"/>
      <c r="AL146" s="1767"/>
      <c r="AM146" s="1767"/>
      <c r="AN146" s="1767"/>
      <c r="AO146" s="1767"/>
      <c r="AP146" s="1767"/>
      <c r="AQ146" s="1767"/>
      <c r="AR146" s="1767"/>
      <c r="AS146" s="1767"/>
      <c r="AT146" s="1767"/>
      <c r="AU146" s="1767"/>
      <c r="AV146" s="1767"/>
      <c r="AW146" s="1767"/>
      <c r="AX146" s="1767"/>
      <c r="AY146" s="1767"/>
      <c r="AZ146" s="1767"/>
      <c r="BA146" s="1767"/>
      <c r="BB146" s="1767"/>
      <c r="BC146" s="1767"/>
      <c r="BD146" s="1767"/>
      <c r="BE146" s="1767"/>
      <c r="BF146" s="1767"/>
      <c r="BG146" s="1767"/>
      <c r="BH146" s="1767"/>
      <c r="BI146" s="1767"/>
      <c r="BJ146" s="1767"/>
      <c r="BK146" s="1767"/>
      <c r="BL146" s="1767"/>
      <c r="BM146" s="1767"/>
      <c r="BN146" s="1767"/>
      <c r="BO146" s="1767"/>
      <c r="BP146" s="1767"/>
      <c r="BQ146" s="1767"/>
      <c r="BR146" s="1767"/>
      <c r="BS146" s="1767"/>
      <c r="BT146" s="1767"/>
      <c r="BU146" s="1767"/>
      <c r="BV146" s="1767"/>
      <c r="BW146" s="1767"/>
      <c r="BX146" s="1767"/>
      <c r="BY146" s="1767"/>
      <c r="BZ146" s="1767"/>
      <c r="CA146" s="1767"/>
      <c r="CB146" s="1767"/>
      <c r="CC146" s="1767"/>
      <c r="CD146" s="1767"/>
      <c r="CE146" s="1767"/>
      <c r="CF146" s="1767"/>
    </row>
    <row r="147" spans="1:84" ht="11.25" customHeight="1">
      <c r="A147" s="1726"/>
      <c r="B147" s="1083"/>
      <c r="C147" s="348"/>
      <c r="D147" s="2609"/>
      <c r="E147" s="2608"/>
      <c r="F147" s="2608"/>
      <c r="G147" s="2608"/>
      <c r="H147" s="2371" t="s">
        <v>104</v>
      </c>
      <c r="I147" s="2604" t="s">
        <v>725</v>
      </c>
      <c r="J147" s="2605" t="s">
        <v>588</v>
      </c>
      <c r="K147" s="2606" t="s">
        <v>726</v>
      </c>
      <c r="L147" s="576"/>
      <c r="M147" s="577" t="s">
        <v>100</v>
      </c>
      <c r="N147" s="1715" t="s">
        <v>727</v>
      </c>
      <c r="O147" s="578">
        <f>Q147</f>
        <v>2616.56</v>
      </c>
      <c r="P147" s="579" t="s">
        <v>569</v>
      </c>
      <c r="Q147" s="578">
        <v>2616.56</v>
      </c>
      <c r="R147" s="580">
        <v>0</v>
      </c>
      <c r="S147" s="2609"/>
      <c r="T147" s="653"/>
      <c r="U147" s="2609"/>
      <c r="V147" s="2609"/>
      <c r="W147" s="1767"/>
      <c r="X147" s="1767"/>
      <c r="Y147" s="1767"/>
      <c r="Z147" s="1767"/>
      <c r="AA147" s="1767"/>
      <c r="AB147" s="1767"/>
      <c r="AC147" s="2609"/>
      <c r="AD147" s="1767"/>
      <c r="AE147" s="1767"/>
      <c r="AF147" s="1767"/>
      <c r="AG147" s="1767"/>
      <c r="AH147" s="1767"/>
      <c r="AI147" s="1767"/>
      <c r="AJ147" s="1767"/>
      <c r="AK147" s="1767"/>
      <c r="AL147" s="1767"/>
      <c r="AM147" s="1767"/>
      <c r="AN147" s="1767"/>
      <c r="AO147" s="1767"/>
      <c r="AP147" s="1767"/>
      <c r="AQ147" s="1767"/>
      <c r="AR147" s="1767"/>
      <c r="AS147" s="1767"/>
      <c r="AT147" s="1767"/>
      <c r="AU147" s="1767"/>
      <c r="AV147" s="1767"/>
      <c r="AW147" s="1767"/>
      <c r="AX147" s="1767"/>
      <c r="AY147" s="1767"/>
      <c r="AZ147" s="1767"/>
      <c r="BA147" s="1767"/>
      <c r="BB147" s="1767"/>
      <c r="BC147" s="1767"/>
      <c r="BD147" s="1767"/>
      <c r="BE147" s="1767"/>
      <c r="BF147" s="1767"/>
      <c r="BG147" s="1767"/>
      <c r="BH147" s="1767"/>
      <c r="BI147" s="1767"/>
      <c r="BJ147" s="1767"/>
      <c r="BK147" s="1767"/>
      <c r="BL147" s="1767"/>
      <c r="BM147" s="1767"/>
      <c r="BN147" s="1767"/>
      <c r="BO147" s="1767"/>
      <c r="BP147" s="1767"/>
      <c r="BQ147" s="1767"/>
      <c r="BR147" s="1767"/>
      <c r="BS147" s="1767"/>
      <c r="BT147" s="1767"/>
      <c r="BU147" s="1767"/>
      <c r="BV147" s="1767"/>
      <c r="BW147" s="1767"/>
      <c r="BX147" s="1767"/>
      <c r="BY147" s="1767"/>
      <c r="BZ147" s="1767"/>
      <c r="CA147" s="1767"/>
      <c r="CB147" s="1767"/>
      <c r="CC147" s="1767"/>
      <c r="CD147" s="1767"/>
      <c r="CE147" s="1767"/>
      <c r="CF147" s="1767"/>
    </row>
    <row r="148" spans="1:84" ht="11.25" customHeight="1">
      <c r="A148" s="1726"/>
      <c r="B148" s="1083"/>
      <c r="C148" s="348"/>
      <c r="D148" s="2609"/>
      <c r="E148" s="2608"/>
      <c r="F148" s="2608"/>
      <c r="G148" s="2608"/>
      <c r="H148" s="2371"/>
      <c r="I148" s="2604" t="s">
        <v>653</v>
      </c>
      <c r="J148" s="2605"/>
      <c r="K148" s="2607"/>
      <c r="L148" s="581"/>
      <c r="M148" s="582"/>
      <c r="N148" s="583" t="s">
        <v>652</v>
      </c>
      <c r="O148" s="583"/>
      <c r="P148" s="583"/>
      <c r="Q148" s="583"/>
      <c r="R148" s="584"/>
      <c r="S148" s="2609"/>
      <c r="T148" s="653"/>
      <c r="U148" s="2609"/>
      <c r="V148" s="2609"/>
      <c r="W148" s="1767"/>
      <c r="X148" s="1767"/>
      <c r="Y148" s="1767"/>
      <c r="Z148" s="1767"/>
      <c r="AA148" s="1767"/>
      <c r="AB148" s="1767"/>
      <c r="AC148" s="2609"/>
      <c r="AD148" s="1767"/>
      <c r="AE148" s="1767"/>
      <c r="AF148" s="1767"/>
      <c r="AG148" s="1767"/>
      <c r="AH148" s="1767"/>
      <c r="AI148" s="1767"/>
      <c r="AJ148" s="1767"/>
      <c r="AK148" s="1767"/>
      <c r="AL148" s="1767"/>
      <c r="AM148" s="1767"/>
      <c r="AN148" s="1767"/>
      <c r="AO148" s="1767"/>
      <c r="AP148" s="1767"/>
      <c r="AQ148" s="1767"/>
      <c r="AR148" s="1767"/>
      <c r="AS148" s="1767"/>
      <c r="AT148" s="1767"/>
      <c r="AU148" s="1767"/>
      <c r="AV148" s="1767"/>
      <c r="AW148" s="1767"/>
      <c r="AX148" s="1767"/>
      <c r="AY148" s="1767"/>
      <c r="AZ148" s="1767"/>
      <c r="BA148" s="1767"/>
      <c r="BB148" s="1767"/>
      <c r="BC148" s="1767"/>
      <c r="BD148" s="1767"/>
      <c r="BE148" s="1767"/>
      <c r="BF148" s="1767"/>
      <c r="BG148" s="1767"/>
      <c r="BH148" s="1767"/>
      <c r="BI148" s="1767"/>
      <c r="BJ148" s="1767"/>
      <c r="BK148" s="1767"/>
      <c r="BL148" s="1767"/>
      <c r="BM148" s="1767"/>
      <c r="BN148" s="1767"/>
      <c r="BO148" s="1767"/>
      <c r="BP148" s="1767"/>
      <c r="BQ148" s="1767"/>
      <c r="BR148" s="1767"/>
      <c r="BS148" s="1767"/>
      <c r="BT148" s="1767"/>
      <c r="BU148" s="1767"/>
      <c r="BV148" s="1767"/>
      <c r="BW148" s="1767"/>
      <c r="BX148" s="1767"/>
      <c r="BY148" s="1767"/>
      <c r="BZ148" s="1767"/>
      <c r="CA148" s="1767"/>
      <c r="CB148" s="1767"/>
      <c r="CC148" s="1767"/>
      <c r="CD148" s="1767"/>
      <c r="CE148" s="1767"/>
      <c r="CF148" s="1767"/>
    </row>
    <row r="149" spans="1:84" ht="11.25" customHeight="1">
      <c r="A149" s="1726"/>
      <c r="B149" s="1083"/>
      <c r="C149" s="348"/>
      <c r="D149" s="2609"/>
      <c r="E149" s="2608"/>
      <c r="F149" s="2608"/>
      <c r="G149" s="2608"/>
      <c r="H149" s="2371" t="s">
        <v>104</v>
      </c>
      <c r="I149" s="2604" t="s">
        <v>728</v>
      </c>
      <c r="J149" s="2605" t="s">
        <v>588</v>
      </c>
      <c r="K149" s="2606" t="s">
        <v>729</v>
      </c>
      <c r="L149" s="576"/>
      <c r="M149" s="577" t="s">
        <v>100</v>
      </c>
      <c r="N149" s="1715" t="s">
        <v>730</v>
      </c>
      <c r="O149" s="578">
        <f>Q149</f>
        <v>14860.34</v>
      </c>
      <c r="P149" s="579" t="s">
        <v>569</v>
      </c>
      <c r="Q149" s="578">
        <v>14860.34</v>
      </c>
      <c r="R149" s="580">
        <v>0</v>
      </c>
      <c r="S149" s="2609"/>
      <c r="T149" s="653"/>
      <c r="U149" s="2609"/>
      <c r="V149" s="2609"/>
      <c r="W149" s="1767"/>
      <c r="X149" s="1767"/>
      <c r="Y149" s="1767"/>
      <c r="Z149" s="1767"/>
      <c r="AA149" s="1767"/>
      <c r="AB149" s="1767"/>
      <c r="AC149" s="2609"/>
      <c r="AD149" s="1767"/>
      <c r="AE149" s="1767"/>
      <c r="AF149" s="1767"/>
      <c r="AG149" s="1767"/>
      <c r="AH149" s="1767"/>
      <c r="AI149" s="1767"/>
      <c r="AJ149" s="1767"/>
      <c r="AK149" s="1767"/>
      <c r="AL149" s="1767"/>
      <c r="AM149" s="1767"/>
      <c r="AN149" s="1767"/>
      <c r="AO149" s="1767"/>
      <c r="AP149" s="1767"/>
      <c r="AQ149" s="1767"/>
      <c r="AR149" s="1767"/>
      <c r="AS149" s="1767"/>
      <c r="AT149" s="1767"/>
      <c r="AU149" s="1767"/>
      <c r="AV149" s="1767"/>
      <c r="AW149" s="1767"/>
      <c r="AX149" s="1767"/>
      <c r="AY149" s="1767"/>
      <c r="AZ149" s="1767"/>
      <c r="BA149" s="1767"/>
      <c r="BB149" s="1767"/>
      <c r="BC149" s="1767"/>
      <c r="BD149" s="1767"/>
      <c r="BE149" s="1767"/>
      <c r="BF149" s="1767"/>
      <c r="BG149" s="1767"/>
      <c r="BH149" s="1767"/>
      <c r="BI149" s="1767"/>
      <c r="BJ149" s="1767"/>
      <c r="BK149" s="1767"/>
      <c r="BL149" s="1767"/>
      <c r="BM149" s="1767"/>
      <c r="BN149" s="1767"/>
      <c r="BO149" s="1767"/>
      <c r="BP149" s="1767"/>
      <c r="BQ149" s="1767"/>
      <c r="BR149" s="1767"/>
      <c r="BS149" s="1767"/>
      <c r="BT149" s="1767"/>
      <c r="BU149" s="1767"/>
      <c r="BV149" s="1767"/>
      <c r="BW149" s="1767"/>
      <c r="BX149" s="1767"/>
      <c r="BY149" s="1767"/>
      <c r="BZ149" s="1767"/>
      <c r="CA149" s="1767"/>
      <c r="CB149" s="1767"/>
      <c r="CC149" s="1767"/>
      <c r="CD149" s="1767"/>
      <c r="CE149" s="1767"/>
      <c r="CF149" s="1767"/>
    </row>
    <row r="150" spans="1:84" ht="11.25" customHeight="1">
      <c r="A150" s="1726"/>
      <c r="B150" s="1083"/>
      <c r="C150" s="348"/>
      <c r="D150" s="2609"/>
      <c r="E150" s="2608"/>
      <c r="F150" s="2608"/>
      <c r="G150" s="2608"/>
      <c r="H150" s="2371"/>
      <c r="I150" s="2604" t="s">
        <v>725</v>
      </c>
      <c r="J150" s="2605"/>
      <c r="K150" s="2607"/>
      <c r="L150" s="581"/>
      <c r="M150" s="582"/>
      <c r="N150" s="583" t="s">
        <v>652</v>
      </c>
      <c r="O150" s="583"/>
      <c r="P150" s="583"/>
      <c r="Q150" s="583"/>
      <c r="R150" s="584"/>
      <c r="S150" s="2609"/>
      <c r="T150" s="653"/>
      <c r="U150" s="2609"/>
      <c r="V150" s="2609"/>
      <c r="W150" s="1767"/>
      <c r="X150" s="1767"/>
      <c r="Y150" s="1767"/>
      <c r="Z150" s="1767"/>
      <c r="AA150" s="1767"/>
      <c r="AB150" s="1767"/>
      <c r="AC150" s="2609"/>
      <c r="AD150" s="1767"/>
      <c r="AE150" s="1767"/>
      <c r="AF150" s="1767"/>
      <c r="AG150" s="1767"/>
      <c r="AH150" s="1767"/>
      <c r="AI150" s="1767"/>
      <c r="AJ150" s="1767"/>
      <c r="AK150" s="1767"/>
      <c r="AL150" s="1767"/>
      <c r="AM150" s="1767"/>
      <c r="AN150" s="1767"/>
      <c r="AO150" s="1767"/>
      <c r="AP150" s="1767"/>
      <c r="AQ150" s="1767"/>
      <c r="AR150" s="1767"/>
      <c r="AS150" s="1767"/>
      <c r="AT150" s="1767"/>
      <c r="AU150" s="1767"/>
      <c r="AV150" s="1767"/>
      <c r="AW150" s="1767"/>
      <c r="AX150" s="1767"/>
      <c r="AY150" s="1767"/>
      <c r="AZ150" s="1767"/>
      <c r="BA150" s="1767"/>
      <c r="BB150" s="1767"/>
      <c r="BC150" s="1767"/>
      <c r="BD150" s="1767"/>
      <c r="BE150" s="1767"/>
      <c r="BF150" s="1767"/>
      <c r="BG150" s="1767"/>
      <c r="BH150" s="1767"/>
      <c r="BI150" s="1767"/>
      <c r="BJ150" s="1767"/>
      <c r="BK150" s="1767"/>
      <c r="BL150" s="1767"/>
      <c r="BM150" s="1767"/>
      <c r="BN150" s="1767"/>
      <c r="BO150" s="1767"/>
      <c r="BP150" s="1767"/>
      <c r="BQ150" s="1767"/>
      <c r="BR150" s="1767"/>
      <c r="BS150" s="1767"/>
      <c r="BT150" s="1767"/>
      <c r="BU150" s="1767"/>
      <c r="BV150" s="1767"/>
      <c r="BW150" s="1767"/>
      <c r="BX150" s="1767"/>
      <c r="BY150" s="1767"/>
      <c r="BZ150" s="1767"/>
      <c r="CA150" s="1767"/>
      <c r="CB150" s="1767"/>
      <c r="CC150" s="1767"/>
      <c r="CD150" s="1767"/>
      <c r="CE150" s="1767"/>
      <c r="CF150" s="1767"/>
    </row>
    <row r="151" spans="1:84" ht="11.25" customHeight="1">
      <c r="A151" s="1726"/>
      <c r="B151" s="1083"/>
      <c r="C151" s="348"/>
      <c r="D151" s="2609"/>
      <c r="E151" s="2608"/>
      <c r="F151" s="2608"/>
      <c r="G151" s="2608"/>
      <c r="H151" s="2371" t="s">
        <v>104</v>
      </c>
      <c r="I151" s="2604" t="s">
        <v>731</v>
      </c>
      <c r="J151" s="2605" t="s">
        <v>588</v>
      </c>
      <c r="K151" s="2606" t="s">
        <v>732</v>
      </c>
      <c r="L151" s="576"/>
      <c r="M151" s="577" t="s">
        <v>100</v>
      </c>
      <c r="N151" s="1715" t="s">
        <v>733</v>
      </c>
      <c r="O151" s="578">
        <f>Q151</f>
        <v>44494.31</v>
      </c>
      <c r="P151" s="579" t="s">
        <v>569</v>
      </c>
      <c r="Q151" s="578">
        <v>44494.31</v>
      </c>
      <c r="R151" s="580">
        <v>0</v>
      </c>
      <c r="S151" s="2609"/>
      <c r="T151" s="653"/>
      <c r="U151" s="2609"/>
      <c r="V151" s="2609"/>
      <c r="W151" s="1767"/>
      <c r="X151" s="1767"/>
      <c r="Y151" s="1767"/>
      <c r="Z151" s="1767"/>
      <c r="AA151" s="1767"/>
      <c r="AB151" s="1767"/>
      <c r="AC151" s="2609"/>
      <c r="AD151" s="1767"/>
      <c r="AE151" s="1767"/>
      <c r="AF151" s="1767"/>
      <c r="AG151" s="1767"/>
      <c r="AH151" s="1767"/>
      <c r="AI151" s="1767"/>
      <c r="AJ151" s="1767"/>
      <c r="AK151" s="1767"/>
      <c r="AL151" s="1767"/>
      <c r="AM151" s="1767"/>
      <c r="AN151" s="1767"/>
      <c r="AO151" s="1767"/>
      <c r="AP151" s="1767"/>
      <c r="AQ151" s="1767"/>
      <c r="AR151" s="1767"/>
      <c r="AS151" s="1767"/>
      <c r="AT151" s="1767"/>
      <c r="AU151" s="1767"/>
      <c r="AV151" s="1767"/>
      <c r="AW151" s="1767"/>
      <c r="AX151" s="1767"/>
      <c r="AY151" s="1767"/>
      <c r="AZ151" s="1767"/>
      <c r="BA151" s="1767"/>
      <c r="BB151" s="1767"/>
      <c r="BC151" s="1767"/>
      <c r="BD151" s="1767"/>
      <c r="BE151" s="1767"/>
      <c r="BF151" s="1767"/>
      <c r="BG151" s="1767"/>
      <c r="BH151" s="1767"/>
      <c r="BI151" s="1767"/>
      <c r="BJ151" s="1767"/>
      <c r="BK151" s="1767"/>
      <c r="BL151" s="1767"/>
      <c r="BM151" s="1767"/>
      <c r="BN151" s="1767"/>
      <c r="BO151" s="1767"/>
      <c r="BP151" s="1767"/>
      <c r="BQ151" s="1767"/>
      <c r="BR151" s="1767"/>
      <c r="BS151" s="1767"/>
      <c r="BT151" s="1767"/>
      <c r="BU151" s="1767"/>
      <c r="BV151" s="1767"/>
      <c r="BW151" s="1767"/>
      <c r="BX151" s="1767"/>
      <c r="BY151" s="1767"/>
      <c r="BZ151" s="1767"/>
      <c r="CA151" s="1767"/>
      <c r="CB151" s="1767"/>
      <c r="CC151" s="1767"/>
      <c r="CD151" s="1767"/>
      <c r="CE151" s="1767"/>
      <c r="CF151" s="1767"/>
    </row>
    <row r="152" spans="1:84" ht="11.25" customHeight="1">
      <c r="A152" s="1726"/>
      <c r="B152" s="1083"/>
      <c r="C152" s="348"/>
      <c r="D152" s="2609"/>
      <c r="E152" s="2608"/>
      <c r="F152" s="2608"/>
      <c r="G152" s="2608"/>
      <c r="H152" s="2371"/>
      <c r="I152" s="2604" t="s">
        <v>728</v>
      </c>
      <c r="J152" s="2605"/>
      <c r="K152" s="2607"/>
      <c r="L152" s="581"/>
      <c r="M152" s="582"/>
      <c r="N152" s="583" t="s">
        <v>652</v>
      </c>
      <c r="O152" s="583"/>
      <c r="P152" s="583"/>
      <c r="Q152" s="583"/>
      <c r="R152" s="584"/>
      <c r="S152" s="2609"/>
      <c r="T152" s="653"/>
      <c r="U152" s="2609"/>
      <c r="V152" s="2609"/>
      <c r="W152" s="1767"/>
      <c r="X152" s="1767"/>
      <c r="Y152" s="1767"/>
      <c r="Z152" s="1767"/>
      <c r="AA152" s="1767"/>
      <c r="AB152" s="1767"/>
      <c r="AC152" s="2609"/>
      <c r="AD152" s="1767"/>
      <c r="AE152" s="1767"/>
      <c r="AF152" s="1767"/>
      <c r="AG152" s="1767"/>
      <c r="AH152" s="1767"/>
      <c r="AI152" s="1767"/>
      <c r="AJ152" s="1767"/>
      <c r="AK152" s="1767"/>
      <c r="AL152" s="1767"/>
      <c r="AM152" s="1767"/>
      <c r="AN152" s="1767"/>
      <c r="AO152" s="1767"/>
      <c r="AP152" s="1767"/>
      <c r="AQ152" s="1767"/>
      <c r="AR152" s="1767"/>
      <c r="AS152" s="1767"/>
      <c r="AT152" s="1767"/>
      <c r="AU152" s="1767"/>
      <c r="AV152" s="1767"/>
      <c r="AW152" s="1767"/>
      <c r="AX152" s="1767"/>
      <c r="AY152" s="1767"/>
      <c r="AZ152" s="1767"/>
      <c r="BA152" s="1767"/>
      <c r="BB152" s="1767"/>
      <c r="BC152" s="1767"/>
      <c r="BD152" s="1767"/>
      <c r="BE152" s="1767"/>
      <c r="BF152" s="1767"/>
      <c r="BG152" s="1767"/>
      <c r="BH152" s="1767"/>
      <c r="BI152" s="1767"/>
      <c r="BJ152" s="1767"/>
      <c r="BK152" s="1767"/>
      <c r="BL152" s="1767"/>
      <c r="BM152" s="1767"/>
      <c r="BN152" s="1767"/>
      <c r="BO152" s="1767"/>
      <c r="BP152" s="1767"/>
      <c r="BQ152" s="1767"/>
      <c r="BR152" s="1767"/>
      <c r="BS152" s="1767"/>
      <c r="BT152" s="1767"/>
      <c r="BU152" s="1767"/>
      <c r="BV152" s="1767"/>
      <c r="BW152" s="1767"/>
      <c r="BX152" s="1767"/>
      <c r="BY152" s="1767"/>
      <c r="BZ152" s="1767"/>
      <c r="CA152" s="1767"/>
      <c r="CB152" s="1767"/>
      <c r="CC152" s="1767"/>
      <c r="CD152" s="1767"/>
      <c r="CE152" s="1767"/>
      <c r="CF152" s="1767"/>
    </row>
    <row r="153" spans="1:84" ht="11.25" customHeight="1">
      <c r="A153" s="1726"/>
      <c r="B153" s="1083"/>
      <c r="C153" s="348"/>
      <c r="D153" s="2609"/>
      <c r="E153" s="2608"/>
      <c r="F153" s="2608"/>
      <c r="G153" s="2608"/>
      <c r="H153" s="2371" t="s">
        <v>104</v>
      </c>
      <c r="I153" s="2604" t="s">
        <v>734</v>
      </c>
      <c r="J153" s="2605" t="s">
        <v>588</v>
      </c>
      <c r="K153" s="2606" t="s">
        <v>735</v>
      </c>
      <c r="L153" s="576"/>
      <c r="M153" s="577" t="s">
        <v>100</v>
      </c>
      <c r="N153" s="1715" t="s">
        <v>736</v>
      </c>
      <c r="O153" s="578">
        <f>Q153</f>
        <v>1464.36</v>
      </c>
      <c r="P153" s="579" t="s">
        <v>569</v>
      </c>
      <c r="Q153" s="578">
        <v>1464.36</v>
      </c>
      <c r="R153" s="580">
        <v>0</v>
      </c>
      <c r="S153" s="2609"/>
      <c r="T153" s="653"/>
      <c r="U153" s="2609"/>
      <c r="V153" s="2609"/>
      <c r="W153" s="1767"/>
      <c r="X153" s="1767"/>
      <c r="Y153" s="1767"/>
      <c r="Z153" s="1767"/>
      <c r="AA153" s="1767"/>
      <c r="AB153" s="1767"/>
      <c r="AC153" s="2609"/>
      <c r="AD153" s="1767"/>
      <c r="AE153" s="1767"/>
      <c r="AF153" s="1767"/>
      <c r="AG153" s="1767"/>
      <c r="AH153" s="1767"/>
      <c r="AI153" s="1767"/>
      <c r="AJ153" s="1767"/>
      <c r="AK153" s="1767"/>
      <c r="AL153" s="1767"/>
      <c r="AM153" s="1767"/>
      <c r="AN153" s="1767"/>
      <c r="AO153" s="1767"/>
      <c r="AP153" s="1767"/>
      <c r="AQ153" s="1767"/>
      <c r="AR153" s="1767"/>
      <c r="AS153" s="1767"/>
      <c r="AT153" s="1767"/>
      <c r="AU153" s="1767"/>
      <c r="AV153" s="1767"/>
      <c r="AW153" s="1767"/>
      <c r="AX153" s="1767"/>
      <c r="AY153" s="1767"/>
      <c r="AZ153" s="1767"/>
      <c r="BA153" s="1767"/>
      <c r="BB153" s="1767"/>
      <c r="BC153" s="1767"/>
      <c r="BD153" s="1767"/>
      <c r="BE153" s="1767"/>
      <c r="BF153" s="1767"/>
      <c r="BG153" s="1767"/>
      <c r="BH153" s="1767"/>
      <c r="BI153" s="1767"/>
      <c r="BJ153" s="1767"/>
      <c r="BK153" s="1767"/>
      <c r="BL153" s="1767"/>
      <c r="BM153" s="1767"/>
      <c r="BN153" s="1767"/>
      <c r="BO153" s="1767"/>
      <c r="BP153" s="1767"/>
      <c r="BQ153" s="1767"/>
      <c r="BR153" s="1767"/>
      <c r="BS153" s="1767"/>
      <c r="BT153" s="1767"/>
      <c r="BU153" s="1767"/>
      <c r="BV153" s="1767"/>
      <c r="BW153" s="1767"/>
      <c r="BX153" s="1767"/>
      <c r="BY153" s="1767"/>
      <c r="BZ153" s="1767"/>
      <c r="CA153" s="1767"/>
      <c r="CB153" s="1767"/>
      <c r="CC153" s="1767"/>
      <c r="CD153" s="1767"/>
      <c r="CE153" s="1767"/>
      <c r="CF153" s="1767"/>
    </row>
    <row r="154" spans="1:84" ht="11.25" customHeight="1">
      <c r="A154" s="1726"/>
      <c r="B154" s="1083"/>
      <c r="C154" s="348"/>
      <c r="D154" s="2609"/>
      <c r="E154" s="2608"/>
      <c r="F154" s="2608"/>
      <c r="G154" s="2608"/>
      <c r="H154" s="2371"/>
      <c r="I154" s="2604" t="s">
        <v>731</v>
      </c>
      <c r="J154" s="2605"/>
      <c r="K154" s="2607"/>
      <c r="L154" s="581"/>
      <c r="M154" s="582"/>
      <c r="N154" s="583" t="s">
        <v>652</v>
      </c>
      <c r="O154" s="583"/>
      <c r="P154" s="583"/>
      <c r="Q154" s="583"/>
      <c r="R154" s="584"/>
      <c r="S154" s="2609"/>
      <c r="T154" s="653"/>
      <c r="U154" s="2609"/>
      <c r="V154" s="2609"/>
      <c r="W154" s="1767"/>
      <c r="X154" s="1767"/>
      <c r="Y154" s="1767"/>
      <c r="Z154" s="1767"/>
      <c r="AA154" s="1767"/>
      <c r="AB154" s="1767"/>
      <c r="AC154" s="2609"/>
      <c r="AD154" s="1767"/>
      <c r="AE154" s="1767"/>
      <c r="AF154" s="1767"/>
      <c r="AG154" s="1767"/>
      <c r="AH154" s="1767"/>
      <c r="AI154" s="1767"/>
      <c r="AJ154" s="1767"/>
      <c r="AK154" s="1767"/>
      <c r="AL154" s="1767"/>
      <c r="AM154" s="1767"/>
      <c r="AN154" s="1767"/>
      <c r="AO154" s="1767"/>
      <c r="AP154" s="1767"/>
      <c r="AQ154" s="1767"/>
      <c r="AR154" s="1767"/>
      <c r="AS154" s="1767"/>
      <c r="AT154" s="1767"/>
      <c r="AU154" s="1767"/>
      <c r="AV154" s="1767"/>
      <c r="AW154" s="1767"/>
      <c r="AX154" s="1767"/>
      <c r="AY154" s="1767"/>
      <c r="AZ154" s="1767"/>
      <c r="BA154" s="1767"/>
      <c r="BB154" s="1767"/>
      <c r="BC154" s="1767"/>
      <c r="BD154" s="1767"/>
      <c r="BE154" s="1767"/>
      <c r="BF154" s="1767"/>
      <c r="BG154" s="1767"/>
      <c r="BH154" s="1767"/>
      <c r="BI154" s="1767"/>
      <c r="BJ154" s="1767"/>
      <c r="BK154" s="1767"/>
      <c r="BL154" s="1767"/>
      <c r="BM154" s="1767"/>
      <c r="BN154" s="1767"/>
      <c r="BO154" s="1767"/>
      <c r="BP154" s="1767"/>
      <c r="BQ154" s="1767"/>
      <c r="BR154" s="1767"/>
      <c r="BS154" s="1767"/>
      <c r="BT154" s="1767"/>
      <c r="BU154" s="1767"/>
      <c r="BV154" s="1767"/>
      <c r="BW154" s="1767"/>
      <c r="BX154" s="1767"/>
      <c r="BY154" s="1767"/>
      <c r="BZ154" s="1767"/>
      <c r="CA154" s="1767"/>
      <c r="CB154" s="1767"/>
      <c r="CC154" s="1767"/>
      <c r="CD154" s="1767"/>
      <c r="CE154" s="1767"/>
      <c r="CF154" s="1767"/>
    </row>
    <row r="155" spans="1:84" ht="11.25" customHeight="1">
      <c r="A155" s="1726"/>
      <c r="B155" s="1083"/>
      <c r="C155" s="348"/>
      <c r="D155" s="2609"/>
      <c r="E155" s="2601"/>
      <c r="F155" s="2365">
        <v>0</v>
      </c>
      <c r="G155" s="2603"/>
      <c r="H155" s="581" t="s">
        <v>22</v>
      </c>
      <c r="I155" s="582"/>
      <c r="J155" s="583" t="s">
        <v>656</v>
      </c>
      <c r="K155" s="583"/>
      <c r="L155" s="583"/>
      <c r="M155" s="583"/>
      <c r="N155" s="583"/>
      <c r="O155" s="583"/>
      <c r="P155" s="583"/>
      <c r="Q155" s="583"/>
      <c r="R155" s="584"/>
      <c r="S155" s="2439"/>
      <c r="T155" s="653"/>
      <c r="U155" s="2609"/>
      <c r="V155" s="2609"/>
      <c r="W155" s="1767"/>
      <c r="X155" s="1767"/>
      <c r="Y155" s="1767"/>
      <c r="Z155" s="1767"/>
      <c r="AA155" s="1767"/>
      <c r="AB155" s="1767"/>
      <c r="AC155" s="2609"/>
      <c r="AD155" s="1767"/>
      <c r="AE155" s="1767"/>
      <c r="AF155" s="1767"/>
      <c r="AG155" s="1767"/>
      <c r="AH155" s="1767"/>
      <c r="AI155" s="1767"/>
      <c r="AJ155" s="1767"/>
      <c r="AK155" s="1767"/>
      <c r="AL155" s="1767"/>
      <c r="AM155" s="1767"/>
      <c r="AN155" s="1767"/>
      <c r="AO155" s="1767"/>
      <c r="AP155" s="1767"/>
      <c r="AQ155" s="1767"/>
      <c r="AR155" s="1767"/>
      <c r="AS155" s="1767"/>
      <c r="AT155" s="1767"/>
      <c r="AU155" s="1767"/>
      <c r="AV155" s="1767"/>
      <c r="AW155" s="1767"/>
      <c r="AX155" s="1767"/>
      <c r="AY155" s="1767"/>
      <c r="AZ155" s="1767"/>
      <c r="BA155" s="1767"/>
      <c r="BB155" s="1767"/>
      <c r="BC155" s="1767"/>
      <c r="BD155" s="1767"/>
      <c r="BE155" s="1767"/>
      <c r="BF155" s="1767"/>
      <c r="BG155" s="1767"/>
      <c r="BH155" s="1767"/>
      <c r="BI155" s="1767"/>
      <c r="BJ155" s="1767"/>
      <c r="BK155" s="1767"/>
      <c r="BL155" s="1767"/>
      <c r="BM155" s="1767"/>
      <c r="BN155" s="1767"/>
      <c r="BO155" s="1767"/>
      <c r="BP155" s="1767"/>
      <c r="BQ155" s="1767"/>
      <c r="BR155" s="1767"/>
      <c r="BS155" s="1767"/>
      <c r="BT155" s="1767"/>
      <c r="BU155" s="1767"/>
      <c r="BV155" s="1767"/>
      <c r="BW155" s="1767"/>
      <c r="BX155" s="1767"/>
      <c r="BY155" s="1767"/>
      <c r="BZ155" s="1767"/>
      <c r="CA155" s="1767"/>
      <c r="CB155" s="1767"/>
      <c r="CC155" s="1767"/>
      <c r="CD155" s="1767"/>
      <c r="CE155" s="1767"/>
      <c r="CF155" s="1767"/>
    </row>
    <row r="156" spans="1:84" ht="45" customHeight="1">
      <c r="A156" s="1726"/>
      <c r="B156" s="1083"/>
      <c r="C156" s="348"/>
      <c r="D156" s="2609"/>
      <c r="E156" s="2599" t="s">
        <v>104</v>
      </c>
      <c r="F156" s="2365" t="s">
        <v>103</v>
      </c>
      <c r="G156" s="2602" t="s">
        <v>737</v>
      </c>
      <c r="H156" s="226"/>
      <c r="I156" s="573" t="s">
        <v>100</v>
      </c>
      <c r="J156" s="1727" t="s">
        <v>648</v>
      </c>
      <c r="K156" s="574" t="s">
        <v>563</v>
      </c>
      <c r="L156" s="2479" t="s">
        <v>563</v>
      </c>
      <c r="M156" s="2415"/>
      <c r="N156" s="574" t="s">
        <v>563</v>
      </c>
      <c r="O156" s="574" t="s">
        <v>563</v>
      </c>
      <c r="P156" s="574" t="s">
        <v>563</v>
      </c>
      <c r="Q156" s="575">
        <f>SUM(Q157:Q159)</f>
        <v>3948.93</v>
      </c>
      <c r="R156" s="575">
        <f>IF('Показатели ФХД'!N89=0,0,($Q$156/'Показатели ФХД'!N89)*100)</f>
        <v>2.8412689069175876</v>
      </c>
      <c r="S156" s="2439"/>
      <c r="T156" s="653" t="s">
        <v>646</v>
      </c>
      <c r="U156" s="2609"/>
      <c r="V156" s="2609"/>
      <c r="W156" s="1767"/>
      <c r="X156" s="1767"/>
      <c r="Y156" s="1767"/>
      <c r="Z156" s="1767"/>
      <c r="AA156" s="1767"/>
      <c r="AB156" s="1767"/>
      <c r="AC156" s="2609"/>
      <c r="AD156" s="1767"/>
      <c r="AE156" s="1767"/>
      <c r="AF156" s="1767"/>
      <c r="AG156" s="1767"/>
      <c r="AH156" s="1767"/>
      <c r="AI156" s="1767"/>
      <c r="AJ156" s="1767"/>
      <c r="AK156" s="1767"/>
      <c r="AL156" s="1767"/>
      <c r="AM156" s="1767"/>
      <c r="AN156" s="1767"/>
      <c r="AO156" s="1767"/>
      <c r="AP156" s="1767"/>
      <c r="AQ156" s="1767"/>
      <c r="AR156" s="1767"/>
      <c r="AS156" s="1767"/>
      <c r="AT156" s="1767"/>
      <c r="AU156" s="1767"/>
      <c r="AV156" s="1767"/>
      <c r="AW156" s="1767"/>
      <c r="AX156" s="1767"/>
      <c r="AY156" s="1767"/>
      <c r="AZ156" s="1767"/>
      <c r="BA156" s="1767"/>
      <c r="BB156" s="1767"/>
      <c r="BC156" s="1767"/>
      <c r="BD156" s="1767"/>
      <c r="BE156" s="1767"/>
      <c r="BF156" s="1767"/>
      <c r="BG156" s="1767"/>
      <c r="BH156" s="1767"/>
      <c r="BI156" s="1767"/>
      <c r="BJ156" s="1767"/>
      <c r="BK156" s="1767"/>
      <c r="BL156" s="1767"/>
      <c r="BM156" s="1767"/>
      <c r="BN156" s="1767"/>
      <c r="BO156" s="1767"/>
      <c r="BP156" s="1767"/>
      <c r="BQ156" s="1767"/>
      <c r="BR156" s="1767"/>
      <c r="BS156" s="1767"/>
      <c r="BT156" s="1767"/>
      <c r="BU156" s="1767"/>
      <c r="BV156" s="1767"/>
      <c r="BW156" s="1767"/>
      <c r="BX156" s="1767"/>
      <c r="BY156" s="1767"/>
      <c r="BZ156" s="1767"/>
      <c r="CA156" s="1767"/>
      <c r="CB156" s="1767"/>
      <c r="CC156" s="1767"/>
      <c r="CD156" s="1767"/>
      <c r="CE156" s="1767"/>
      <c r="CF156" s="1767"/>
    </row>
    <row r="157" spans="1:84" ht="11.25" customHeight="1">
      <c r="A157" s="1726"/>
      <c r="B157" s="1083"/>
      <c r="C157" s="348"/>
      <c r="D157" s="2609"/>
      <c r="E157" s="2600"/>
      <c r="F157" s="2365" t="s">
        <v>100</v>
      </c>
      <c r="G157" s="2602"/>
      <c r="H157" s="2371"/>
      <c r="I157" s="2604" t="s">
        <v>649</v>
      </c>
      <c r="J157" s="2605" t="s">
        <v>591</v>
      </c>
      <c r="K157" s="2606" t="s">
        <v>738</v>
      </c>
      <c r="L157" s="576"/>
      <c r="M157" s="577" t="s">
        <v>100</v>
      </c>
      <c r="N157" s="1715" t="s">
        <v>739</v>
      </c>
      <c r="O157" s="578">
        <f>Q157</f>
        <v>3948.93</v>
      </c>
      <c r="P157" s="579" t="s">
        <v>569</v>
      </c>
      <c r="Q157" s="578">
        <v>3948.93</v>
      </c>
      <c r="R157" s="580">
        <v>0</v>
      </c>
      <c r="S157" s="2439"/>
      <c r="T157" s="653"/>
      <c r="U157" s="2609"/>
      <c r="V157" s="2609"/>
      <c r="W157" s="1767"/>
      <c r="X157" s="1767"/>
      <c r="Y157" s="1767"/>
      <c r="Z157" s="1767"/>
      <c r="AA157" s="1767"/>
      <c r="AB157" s="1767"/>
      <c r="AC157" s="2609"/>
      <c r="AD157" s="1767"/>
      <c r="AE157" s="1767"/>
      <c r="AF157" s="1767"/>
      <c r="AG157" s="1767"/>
      <c r="AH157" s="1767"/>
      <c r="AI157" s="1767"/>
      <c r="AJ157" s="1767"/>
      <c r="AK157" s="1767"/>
      <c r="AL157" s="1767"/>
      <c r="AM157" s="1767"/>
      <c r="AN157" s="1767"/>
      <c r="AO157" s="1767"/>
      <c r="AP157" s="1767"/>
      <c r="AQ157" s="1767"/>
      <c r="AR157" s="1767"/>
      <c r="AS157" s="1767"/>
      <c r="AT157" s="1767"/>
      <c r="AU157" s="1767"/>
      <c r="AV157" s="1767"/>
      <c r="AW157" s="1767"/>
      <c r="AX157" s="1767"/>
      <c r="AY157" s="1767"/>
      <c r="AZ157" s="1767"/>
      <c r="BA157" s="1767"/>
      <c r="BB157" s="1767"/>
      <c r="BC157" s="1767"/>
      <c r="BD157" s="1767"/>
      <c r="BE157" s="1767"/>
      <c r="BF157" s="1767"/>
      <c r="BG157" s="1767"/>
      <c r="BH157" s="1767"/>
      <c r="BI157" s="1767"/>
      <c r="BJ157" s="1767"/>
      <c r="BK157" s="1767"/>
      <c r="BL157" s="1767"/>
      <c r="BM157" s="1767"/>
      <c r="BN157" s="1767"/>
      <c r="BO157" s="1767"/>
      <c r="BP157" s="1767"/>
      <c r="BQ157" s="1767"/>
      <c r="BR157" s="1767"/>
      <c r="BS157" s="1767"/>
      <c r="BT157" s="1767"/>
      <c r="BU157" s="1767"/>
      <c r="BV157" s="1767"/>
      <c r="BW157" s="1767"/>
      <c r="BX157" s="1767"/>
      <c r="BY157" s="1767"/>
      <c r="BZ157" s="1767"/>
      <c r="CA157" s="1767"/>
      <c r="CB157" s="1767"/>
      <c r="CC157" s="1767"/>
      <c r="CD157" s="1767"/>
      <c r="CE157" s="1767"/>
      <c r="CF157" s="1767"/>
    </row>
    <row r="158" spans="1:84" ht="11.25" customHeight="1">
      <c r="A158" s="1726"/>
      <c r="B158" s="1083"/>
      <c r="C158" s="348"/>
      <c r="D158" s="2609"/>
      <c r="E158" s="2600"/>
      <c r="F158" s="2365" t="s">
        <v>100</v>
      </c>
      <c r="G158" s="2602"/>
      <c r="H158" s="2371"/>
      <c r="I158" s="2604"/>
      <c r="J158" s="2605"/>
      <c r="K158" s="2607"/>
      <c r="L158" s="581"/>
      <c r="M158" s="582"/>
      <c r="N158" s="583" t="s">
        <v>652</v>
      </c>
      <c r="O158" s="583"/>
      <c r="P158" s="583"/>
      <c r="Q158" s="583"/>
      <c r="R158" s="584"/>
      <c r="S158" s="2439"/>
      <c r="T158" s="653"/>
      <c r="U158" s="2609"/>
      <c r="V158" s="2609"/>
      <c r="W158" s="1767"/>
      <c r="X158" s="1767"/>
      <c r="Y158" s="1767"/>
      <c r="Z158" s="1767"/>
      <c r="AA158" s="1767"/>
      <c r="AB158" s="1767"/>
      <c r="AC158" s="2609"/>
      <c r="AD158" s="1767"/>
      <c r="AE158" s="1767"/>
      <c r="AF158" s="1767"/>
      <c r="AG158" s="1767"/>
      <c r="AH158" s="1767"/>
      <c r="AI158" s="1767"/>
      <c r="AJ158" s="1767"/>
      <c r="AK158" s="1767"/>
      <c r="AL158" s="1767"/>
      <c r="AM158" s="1767"/>
      <c r="AN158" s="1767"/>
      <c r="AO158" s="1767"/>
      <c r="AP158" s="1767"/>
      <c r="AQ158" s="1767"/>
      <c r="AR158" s="1767"/>
      <c r="AS158" s="1767"/>
      <c r="AT158" s="1767"/>
      <c r="AU158" s="1767"/>
      <c r="AV158" s="1767"/>
      <c r="AW158" s="1767"/>
      <c r="AX158" s="1767"/>
      <c r="AY158" s="1767"/>
      <c r="AZ158" s="1767"/>
      <c r="BA158" s="1767"/>
      <c r="BB158" s="1767"/>
      <c r="BC158" s="1767"/>
      <c r="BD158" s="1767"/>
      <c r="BE158" s="1767"/>
      <c r="BF158" s="1767"/>
      <c r="BG158" s="1767"/>
      <c r="BH158" s="1767"/>
      <c r="BI158" s="1767"/>
      <c r="BJ158" s="1767"/>
      <c r="BK158" s="1767"/>
      <c r="BL158" s="1767"/>
      <c r="BM158" s="1767"/>
      <c r="BN158" s="1767"/>
      <c r="BO158" s="1767"/>
      <c r="BP158" s="1767"/>
      <c r="BQ158" s="1767"/>
      <c r="BR158" s="1767"/>
      <c r="BS158" s="1767"/>
      <c r="BT158" s="1767"/>
      <c r="BU158" s="1767"/>
      <c r="BV158" s="1767"/>
      <c r="BW158" s="1767"/>
      <c r="BX158" s="1767"/>
      <c r="BY158" s="1767"/>
      <c r="BZ158" s="1767"/>
      <c r="CA158" s="1767"/>
      <c r="CB158" s="1767"/>
      <c r="CC158" s="1767"/>
      <c r="CD158" s="1767"/>
      <c r="CE158" s="1767"/>
      <c r="CF158" s="1767"/>
    </row>
    <row r="159" spans="1:84" ht="11.25" customHeight="1">
      <c r="A159" s="1726"/>
      <c r="B159" s="1083"/>
      <c r="C159" s="348"/>
      <c r="D159" s="2609"/>
      <c r="E159" s="2601"/>
      <c r="F159" s="2365" t="s">
        <v>100</v>
      </c>
      <c r="G159" s="2603"/>
      <c r="H159" s="581" t="s">
        <v>22</v>
      </c>
      <c r="I159" s="582"/>
      <c r="J159" s="583" t="s">
        <v>656</v>
      </c>
      <c r="K159" s="583"/>
      <c r="L159" s="583"/>
      <c r="M159" s="583"/>
      <c r="N159" s="583"/>
      <c r="O159" s="583"/>
      <c r="P159" s="583"/>
      <c r="Q159" s="583"/>
      <c r="R159" s="584"/>
      <c r="S159" s="2439"/>
      <c r="T159" s="653"/>
      <c r="U159" s="2609"/>
      <c r="V159" s="2609"/>
      <c r="W159" s="1767"/>
      <c r="X159" s="1767"/>
      <c r="Y159" s="1767"/>
      <c r="Z159" s="1767"/>
      <c r="AA159" s="1767"/>
      <c r="AB159" s="1767"/>
      <c r="AC159" s="2609"/>
      <c r="AD159" s="1767"/>
      <c r="AE159" s="1767"/>
      <c r="AF159" s="1767"/>
      <c r="AG159" s="1767"/>
      <c r="AH159" s="1767"/>
      <c r="AI159" s="1767"/>
      <c r="AJ159" s="1767"/>
      <c r="AK159" s="1767"/>
      <c r="AL159" s="1767"/>
      <c r="AM159" s="1767"/>
      <c r="AN159" s="1767"/>
      <c r="AO159" s="1767"/>
      <c r="AP159" s="1767"/>
      <c r="AQ159" s="1767"/>
      <c r="AR159" s="1767"/>
      <c r="AS159" s="1767"/>
      <c r="AT159" s="1767"/>
      <c r="AU159" s="1767"/>
      <c r="AV159" s="1767"/>
      <c r="AW159" s="1767"/>
      <c r="AX159" s="1767"/>
      <c r="AY159" s="1767"/>
      <c r="AZ159" s="1767"/>
      <c r="BA159" s="1767"/>
      <c r="BB159" s="1767"/>
      <c r="BC159" s="1767"/>
      <c r="BD159" s="1767"/>
      <c r="BE159" s="1767"/>
      <c r="BF159" s="1767"/>
      <c r="BG159" s="1767"/>
      <c r="BH159" s="1767"/>
      <c r="BI159" s="1767"/>
      <c r="BJ159" s="1767"/>
      <c r="BK159" s="1767"/>
      <c r="BL159" s="1767"/>
      <c r="BM159" s="1767"/>
      <c r="BN159" s="1767"/>
      <c r="BO159" s="1767"/>
      <c r="BP159" s="1767"/>
      <c r="BQ159" s="1767"/>
      <c r="BR159" s="1767"/>
      <c r="BS159" s="1767"/>
      <c r="BT159" s="1767"/>
      <c r="BU159" s="1767"/>
      <c r="BV159" s="1767"/>
      <c r="BW159" s="1767"/>
      <c r="BX159" s="1767"/>
      <c r="BY159" s="1767"/>
      <c r="BZ159" s="1767"/>
      <c r="CA159" s="1767"/>
      <c r="CB159" s="1767"/>
      <c r="CC159" s="1767"/>
      <c r="CD159" s="1767"/>
      <c r="CE159" s="1767"/>
      <c r="CF159" s="1767"/>
    </row>
    <row r="160" spans="1:84" ht="45" customHeight="1">
      <c r="A160" s="1726"/>
      <c r="B160" s="1083"/>
      <c r="C160" s="348"/>
      <c r="D160" s="2609"/>
      <c r="E160" s="2599" t="s">
        <v>104</v>
      </c>
      <c r="F160" s="2365" t="s">
        <v>91</v>
      </c>
      <c r="G160" s="2602" t="s">
        <v>740</v>
      </c>
      <c r="H160" s="226"/>
      <c r="I160" s="573" t="s">
        <v>100</v>
      </c>
      <c r="J160" s="1727" t="s">
        <v>648</v>
      </c>
      <c r="K160" s="574" t="s">
        <v>563</v>
      </c>
      <c r="L160" s="2479" t="s">
        <v>563</v>
      </c>
      <c r="M160" s="2415"/>
      <c r="N160" s="574" t="s">
        <v>563</v>
      </c>
      <c r="O160" s="574" t="s">
        <v>563</v>
      </c>
      <c r="P160" s="574" t="s">
        <v>563</v>
      </c>
      <c r="Q160" s="575">
        <f>SUM(Q161:Q165)</f>
        <v>8230.76</v>
      </c>
      <c r="R160" s="575">
        <f>IF('Показатели ФХД'!N89=0,0,($Q$160/'Показатели ФХД'!N89)*100)</f>
        <v>5.9220605248259668</v>
      </c>
      <c r="S160" s="2439"/>
      <c r="T160" s="653" t="s">
        <v>646</v>
      </c>
      <c r="U160" s="2609"/>
      <c r="V160" s="2609"/>
      <c r="W160" s="1767"/>
      <c r="X160" s="1767"/>
      <c r="Y160" s="1767"/>
      <c r="Z160" s="1767"/>
      <c r="AA160" s="1767"/>
      <c r="AB160" s="1767"/>
      <c r="AC160" s="2609"/>
      <c r="AD160" s="1767"/>
      <c r="AE160" s="1767"/>
      <c r="AF160" s="1767"/>
      <c r="AG160" s="1767"/>
      <c r="AH160" s="1767"/>
      <c r="AI160" s="1767"/>
      <c r="AJ160" s="1767"/>
      <c r="AK160" s="1767"/>
      <c r="AL160" s="1767"/>
      <c r="AM160" s="1767"/>
      <c r="AN160" s="1767"/>
      <c r="AO160" s="1767"/>
      <c r="AP160" s="1767"/>
      <c r="AQ160" s="1767"/>
      <c r="AR160" s="1767"/>
      <c r="AS160" s="1767"/>
      <c r="AT160" s="1767"/>
      <c r="AU160" s="1767"/>
      <c r="AV160" s="1767"/>
      <c r="AW160" s="1767"/>
      <c r="AX160" s="1767"/>
      <c r="AY160" s="1767"/>
      <c r="AZ160" s="1767"/>
      <c r="BA160" s="1767"/>
      <c r="BB160" s="1767"/>
      <c r="BC160" s="1767"/>
      <c r="BD160" s="1767"/>
      <c r="BE160" s="1767"/>
      <c r="BF160" s="1767"/>
      <c r="BG160" s="1767"/>
      <c r="BH160" s="1767"/>
      <c r="BI160" s="1767"/>
      <c r="BJ160" s="1767"/>
      <c r="BK160" s="1767"/>
      <c r="BL160" s="1767"/>
      <c r="BM160" s="1767"/>
      <c r="BN160" s="1767"/>
      <c r="BO160" s="1767"/>
      <c r="BP160" s="1767"/>
      <c r="BQ160" s="1767"/>
      <c r="BR160" s="1767"/>
      <c r="BS160" s="1767"/>
      <c r="BT160" s="1767"/>
      <c r="BU160" s="1767"/>
      <c r="BV160" s="1767"/>
      <c r="BW160" s="1767"/>
      <c r="BX160" s="1767"/>
      <c r="BY160" s="1767"/>
      <c r="BZ160" s="1767"/>
      <c r="CA160" s="1767"/>
      <c r="CB160" s="1767"/>
      <c r="CC160" s="1767"/>
      <c r="CD160" s="1767"/>
      <c r="CE160" s="1767"/>
      <c r="CF160" s="1767"/>
    </row>
    <row r="161" spans="1:84" ht="11.25" customHeight="1">
      <c r="A161" s="1726"/>
      <c r="B161" s="1083"/>
      <c r="C161" s="348"/>
      <c r="D161" s="2609"/>
      <c r="E161" s="2600"/>
      <c r="F161" s="2365" t="s">
        <v>103</v>
      </c>
      <c r="G161" s="2602"/>
      <c r="H161" s="2371"/>
      <c r="I161" s="2604" t="s">
        <v>649</v>
      </c>
      <c r="J161" s="2605" t="s">
        <v>591</v>
      </c>
      <c r="K161" s="2606" t="s">
        <v>741</v>
      </c>
      <c r="L161" s="576"/>
      <c r="M161" s="577" t="s">
        <v>100</v>
      </c>
      <c r="N161" s="1715" t="s">
        <v>742</v>
      </c>
      <c r="O161" s="578">
        <f>Q161</f>
        <v>3446.1</v>
      </c>
      <c r="P161" s="579" t="s">
        <v>569</v>
      </c>
      <c r="Q161" s="578">
        <v>3446.1</v>
      </c>
      <c r="R161" s="580">
        <v>0</v>
      </c>
      <c r="S161" s="2439"/>
      <c r="T161" s="653"/>
      <c r="U161" s="2609"/>
      <c r="V161" s="2609"/>
      <c r="W161" s="1767"/>
      <c r="X161" s="1767"/>
      <c r="Y161" s="1767"/>
      <c r="Z161" s="1767"/>
      <c r="AA161" s="1767"/>
      <c r="AB161" s="1767"/>
      <c r="AC161" s="2609"/>
      <c r="AD161" s="1767"/>
      <c r="AE161" s="1767"/>
      <c r="AF161" s="1767"/>
      <c r="AG161" s="1767"/>
      <c r="AH161" s="1767"/>
      <c r="AI161" s="1767"/>
      <c r="AJ161" s="1767"/>
      <c r="AK161" s="1767"/>
      <c r="AL161" s="1767"/>
      <c r="AM161" s="1767"/>
      <c r="AN161" s="1767"/>
      <c r="AO161" s="1767"/>
      <c r="AP161" s="1767"/>
      <c r="AQ161" s="1767"/>
      <c r="AR161" s="1767"/>
      <c r="AS161" s="1767"/>
      <c r="AT161" s="1767"/>
      <c r="AU161" s="1767"/>
      <c r="AV161" s="1767"/>
      <c r="AW161" s="1767"/>
      <c r="AX161" s="1767"/>
      <c r="AY161" s="1767"/>
      <c r="AZ161" s="1767"/>
      <c r="BA161" s="1767"/>
      <c r="BB161" s="1767"/>
      <c r="BC161" s="1767"/>
      <c r="BD161" s="1767"/>
      <c r="BE161" s="1767"/>
      <c r="BF161" s="1767"/>
      <c r="BG161" s="1767"/>
      <c r="BH161" s="1767"/>
      <c r="BI161" s="1767"/>
      <c r="BJ161" s="1767"/>
      <c r="BK161" s="1767"/>
      <c r="BL161" s="1767"/>
      <c r="BM161" s="1767"/>
      <c r="BN161" s="1767"/>
      <c r="BO161" s="1767"/>
      <c r="BP161" s="1767"/>
      <c r="BQ161" s="1767"/>
      <c r="BR161" s="1767"/>
      <c r="BS161" s="1767"/>
      <c r="BT161" s="1767"/>
      <c r="BU161" s="1767"/>
      <c r="BV161" s="1767"/>
      <c r="BW161" s="1767"/>
      <c r="BX161" s="1767"/>
      <c r="BY161" s="1767"/>
      <c r="BZ161" s="1767"/>
      <c r="CA161" s="1767"/>
      <c r="CB161" s="1767"/>
      <c r="CC161" s="1767"/>
      <c r="CD161" s="1767"/>
      <c r="CE161" s="1767"/>
      <c r="CF161" s="1767"/>
    </row>
    <row r="162" spans="1:84" ht="11.25" customHeight="1">
      <c r="A162" s="1726"/>
      <c r="B162" s="1083"/>
      <c r="C162" s="348"/>
      <c r="D162" s="2609"/>
      <c r="E162" s="2600"/>
      <c r="F162" s="2365" t="s">
        <v>103</v>
      </c>
      <c r="G162" s="2602"/>
      <c r="H162" s="2371"/>
      <c r="I162" s="2604"/>
      <c r="J162" s="2605"/>
      <c r="K162" s="2607"/>
      <c r="L162" s="581"/>
      <c r="M162" s="582"/>
      <c r="N162" s="583" t="s">
        <v>652</v>
      </c>
      <c r="O162" s="583"/>
      <c r="P162" s="583"/>
      <c r="Q162" s="583"/>
      <c r="R162" s="584"/>
      <c r="S162" s="2439"/>
      <c r="T162" s="653"/>
      <c r="U162" s="2609"/>
      <c r="V162" s="2609"/>
      <c r="W162" s="1767"/>
      <c r="X162" s="1767"/>
      <c r="Y162" s="1767"/>
      <c r="Z162" s="1767"/>
      <c r="AA162" s="1767"/>
      <c r="AB162" s="1767"/>
      <c r="AC162" s="2609"/>
      <c r="AD162" s="1767"/>
      <c r="AE162" s="1767"/>
      <c r="AF162" s="1767"/>
      <c r="AG162" s="1767"/>
      <c r="AH162" s="1767"/>
      <c r="AI162" s="1767"/>
      <c r="AJ162" s="1767"/>
      <c r="AK162" s="1767"/>
      <c r="AL162" s="1767"/>
      <c r="AM162" s="1767"/>
      <c r="AN162" s="1767"/>
      <c r="AO162" s="1767"/>
      <c r="AP162" s="1767"/>
      <c r="AQ162" s="1767"/>
      <c r="AR162" s="1767"/>
      <c r="AS162" s="1767"/>
      <c r="AT162" s="1767"/>
      <c r="AU162" s="1767"/>
      <c r="AV162" s="1767"/>
      <c r="AW162" s="1767"/>
      <c r="AX162" s="1767"/>
      <c r="AY162" s="1767"/>
      <c r="AZ162" s="1767"/>
      <c r="BA162" s="1767"/>
      <c r="BB162" s="1767"/>
      <c r="BC162" s="1767"/>
      <c r="BD162" s="1767"/>
      <c r="BE162" s="1767"/>
      <c r="BF162" s="1767"/>
      <c r="BG162" s="1767"/>
      <c r="BH162" s="1767"/>
      <c r="BI162" s="1767"/>
      <c r="BJ162" s="1767"/>
      <c r="BK162" s="1767"/>
      <c r="BL162" s="1767"/>
      <c r="BM162" s="1767"/>
      <c r="BN162" s="1767"/>
      <c r="BO162" s="1767"/>
      <c r="BP162" s="1767"/>
      <c r="BQ162" s="1767"/>
      <c r="BR162" s="1767"/>
      <c r="BS162" s="1767"/>
      <c r="BT162" s="1767"/>
      <c r="BU162" s="1767"/>
      <c r="BV162" s="1767"/>
      <c r="BW162" s="1767"/>
      <c r="BX162" s="1767"/>
      <c r="BY162" s="1767"/>
      <c r="BZ162" s="1767"/>
      <c r="CA162" s="1767"/>
      <c r="CB162" s="1767"/>
      <c r="CC162" s="1767"/>
      <c r="CD162" s="1767"/>
      <c r="CE162" s="1767"/>
      <c r="CF162" s="1767"/>
    </row>
    <row r="163" spans="1:84" ht="11.25" customHeight="1">
      <c r="A163" s="1726"/>
      <c r="B163" s="1083"/>
      <c r="C163" s="348"/>
      <c r="D163" s="2609"/>
      <c r="E163" s="2608"/>
      <c r="F163" s="2608"/>
      <c r="G163" s="2608"/>
      <c r="H163" s="2371" t="s">
        <v>104</v>
      </c>
      <c r="I163" s="2604" t="s">
        <v>653</v>
      </c>
      <c r="J163" s="2605" t="s">
        <v>591</v>
      </c>
      <c r="K163" s="2606" t="s">
        <v>743</v>
      </c>
      <c r="L163" s="576"/>
      <c r="M163" s="577" t="s">
        <v>100</v>
      </c>
      <c r="N163" s="1715" t="s">
        <v>744</v>
      </c>
      <c r="O163" s="578">
        <f>Q163</f>
        <v>4784.66</v>
      </c>
      <c r="P163" s="579" t="s">
        <v>569</v>
      </c>
      <c r="Q163" s="578">
        <v>4784.66</v>
      </c>
      <c r="R163" s="580">
        <v>0</v>
      </c>
      <c r="S163" s="2609"/>
      <c r="T163" s="653"/>
      <c r="U163" s="2609"/>
      <c r="V163" s="2609"/>
      <c r="W163" s="1767"/>
      <c r="X163" s="1767"/>
      <c r="Y163" s="1767"/>
      <c r="Z163" s="1767"/>
      <c r="AA163" s="1767"/>
      <c r="AB163" s="1767"/>
      <c r="AC163" s="2609"/>
      <c r="AD163" s="1767"/>
      <c r="AE163" s="1767"/>
      <c r="AF163" s="1767"/>
      <c r="AG163" s="1767"/>
      <c r="AH163" s="1767"/>
      <c r="AI163" s="1767"/>
      <c r="AJ163" s="1767"/>
      <c r="AK163" s="1767"/>
      <c r="AL163" s="1767"/>
      <c r="AM163" s="1767"/>
      <c r="AN163" s="1767"/>
      <c r="AO163" s="1767"/>
      <c r="AP163" s="1767"/>
      <c r="AQ163" s="1767"/>
      <c r="AR163" s="1767"/>
      <c r="AS163" s="1767"/>
      <c r="AT163" s="1767"/>
      <c r="AU163" s="1767"/>
      <c r="AV163" s="1767"/>
      <c r="AW163" s="1767"/>
      <c r="AX163" s="1767"/>
      <c r="AY163" s="1767"/>
      <c r="AZ163" s="1767"/>
      <c r="BA163" s="1767"/>
      <c r="BB163" s="1767"/>
      <c r="BC163" s="1767"/>
      <c r="BD163" s="1767"/>
      <c r="BE163" s="1767"/>
      <c r="BF163" s="1767"/>
      <c r="BG163" s="1767"/>
      <c r="BH163" s="1767"/>
      <c r="BI163" s="1767"/>
      <c r="BJ163" s="1767"/>
      <c r="BK163" s="1767"/>
      <c r="BL163" s="1767"/>
      <c r="BM163" s="1767"/>
      <c r="BN163" s="1767"/>
      <c r="BO163" s="1767"/>
      <c r="BP163" s="1767"/>
      <c r="BQ163" s="1767"/>
      <c r="BR163" s="1767"/>
      <c r="BS163" s="1767"/>
      <c r="BT163" s="1767"/>
      <c r="BU163" s="1767"/>
      <c r="BV163" s="1767"/>
      <c r="BW163" s="1767"/>
      <c r="BX163" s="1767"/>
      <c r="BY163" s="1767"/>
      <c r="BZ163" s="1767"/>
      <c r="CA163" s="1767"/>
      <c r="CB163" s="1767"/>
      <c r="CC163" s="1767"/>
      <c r="CD163" s="1767"/>
      <c r="CE163" s="1767"/>
      <c r="CF163" s="1767"/>
    </row>
    <row r="164" spans="1:84" ht="11.25" customHeight="1">
      <c r="A164" s="1726"/>
      <c r="B164" s="1083"/>
      <c r="C164" s="348"/>
      <c r="D164" s="2609"/>
      <c r="E164" s="2608"/>
      <c r="F164" s="2608"/>
      <c r="G164" s="2608"/>
      <c r="H164" s="2371"/>
      <c r="I164" s="2604" t="s">
        <v>649</v>
      </c>
      <c r="J164" s="2605"/>
      <c r="K164" s="2607"/>
      <c r="L164" s="581"/>
      <c r="M164" s="582"/>
      <c r="N164" s="583" t="s">
        <v>652</v>
      </c>
      <c r="O164" s="583"/>
      <c r="P164" s="583"/>
      <c r="Q164" s="583"/>
      <c r="R164" s="584"/>
      <c r="S164" s="2609"/>
      <c r="T164" s="653"/>
      <c r="U164" s="2609"/>
      <c r="V164" s="2609"/>
      <c r="W164" s="1767"/>
      <c r="X164" s="1767"/>
      <c r="Y164" s="1767"/>
      <c r="Z164" s="1767"/>
      <c r="AA164" s="1767"/>
      <c r="AB164" s="1767"/>
      <c r="AC164" s="2609"/>
      <c r="AD164" s="1767"/>
      <c r="AE164" s="1767"/>
      <c r="AF164" s="1767"/>
      <c r="AG164" s="1767"/>
      <c r="AH164" s="1767"/>
      <c r="AI164" s="1767"/>
      <c r="AJ164" s="1767"/>
      <c r="AK164" s="1767"/>
      <c r="AL164" s="1767"/>
      <c r="AM164" s="1767"/>
      <c r="AN164" s="1767"/>
      <c r="AO164" s="1767"/>
      <c r="AP164" s="1767"/>
      <c r="AQ164" s="1767"/>
      <c r="AR164" s="1767"/>
      <c r="AS164" s="1767"/>
      <c r="AT164" s="1767"/>
      <c r="AU164" s="1767"/>
      <c r="AV164" s="1767"/>
      <c r="AW164" s="1767"/>
      <c r="AX164" s="1767"/>
      <c r="AY164" s="1767"/>
      <c r="AZ164" s="1767"/>
      <c r="BA164" s="1767"/>
      <c r="BB164" s="1767"/>
      <c r="BC164" s="1767"/>
      <c r="BD164" s="1767"/>
      <c r="BE164" s="1767"/>
      <c r="BF164" s="1767"/>
      <c r="BG164" s="1767"/>
      <c r="BH164" s="1767"/>
      <c r="BI164" s="1767"/>
      <c r="BJ164" s="1767"/>
      <c r="BK164" s="1767"/>
      <c r="BL164" s="1767"/>
      <c r="BM164" s="1767"/>
      <c r="BN164" s="1767"/>
      <c r="BO164" s="1767"/>
      <c r="BP164" s="1767"/>
      <c r="BQ164" s="1767"/>
      <c r="BR164" s="1767"/>
      <c r="BS164" s="1767"/>
      <c r="BT164" s="1767"/>
      <c r="BU164" s="1767"/>
      <c r="BV164" s="1767"/>
      <c r="BW164" s="1767"/>
      <c r="BX164" s="1767"/>
      <c r="BY164" s="1767"/>
      <c r="BZ164" s="1767"/>
      <c r="CA164" s="1767"/>
      <c r="CB164" s="1767"/>
      <c r="CC164" s="1767"/>
      <c r="CD164" s="1767"/>
      <c r="CE164" s="1767"/>
      <c r="CF164" s="1767"/>
    </row>
    <row r="165" spans="1:84" ht="11.25" customHeight="1">
      <c r="A165" s="1726"/>
      <c r="B165" s="1083"/>
      <c r="C165" s="348"/>
      <c r="D165" s="2609"/>
      <c r="E165" s="2601"/>
      <c r="F165" s="2365" t="s">
        <v>103</v>
      </c>
      <c r="G165" s="2603"/>
      <c r="H165" s="581" t="s">
        <v>22</v>
      </c>
      <c r="I165" s="582"/>
      <c r="J165" s="583" t="s">
        <v>656</v>
      </c>
      <c r="K165" s="583"/>
      <c r="L165" s="583"/>
      <c r="M165" s="583"/>
      <c r="N165" s="583"/>
      <c r="O165" s="583"/>
      <c r="P165" s="583"/>
      <c r="Q165" s="583"/>
      <c r="R165" s="584"/>
      <c r="S165" s="2439"/>
      <c r="T165" s="653"/>
      <c r="U165" s="2609"/>
      <c r="V165" s="2609"/>
      <c r="W165" s="1767"/>
      <c r="X165" s="1767"/>
      <c r="Y165" s="1767"/>
      <c r="Z165" s="1767"/>
      <c r="AA165" s="1767"/>
      <c r="AB165" s="1767"/>
      <c r="AC165" s="2609"/>
      <c r="AD165" s="1767"/>
      <c r="AE165" s="1767"/>
      <c r="AF165" s="1767"/>
      <c r="AG165" s="1767"/>
      <c r="AH165" s="1767"/>
      <c r="AI165" s="1767"/>
      <c r="AJ165" s="1767"/>
      <c r="AK165" s="1767"/>
      <c r="AL165" s="1767"/>
      <c r="AM165" s="1767"/>
      <c r="AN165" s="1767"/>
      <c r="AO165" s="1767"/>
      <c r="AP165" s="1767"/>
      <c r="AQ165" s="1767"/>
      <c r="AR165" s="1767"/>
      <c r="AS165" s="1767"/>
      <c r="AT165" s="1767"/>
      <c r="AU165" s="1767"/>
      <c r="AV165" s="1767"/>
      <c r="AW165" s="1767"/>
      <c r="AX165" s="1767"/>
      <c r="AY165" s="1767"/>
      <c r="AZ165" s="1767"/>
      <c r="BA165" s="1767"/>
      <c r="BB165" s="1767"/>
      <c r="BC165" s="1767"/>
      <c r="BD165" s="1767"/>
      <c r="BE165" s="1767"/>
      <c r="BF165" s="1767"/>
      <c r="BG165" s="1767"/>
      <c r="BH165" s="1767"/>
      <c r="BI165" s="1767"/>
      <c r="BJ165" s="1767"/>
      <c r="BK165" s="1767"/>
      <c r="BL165" s="1767"/>
      <c r="BM165" s="1767"/>
      <c r="BN165" s="1767"/>
      <c r="BO165" s="1767"/>
      <c r="BP165" s="1767"/>
      <c r="BQ165" s="1767"/>
      <c r="BR165" s="1767"/>
      <c r="BS165" s="1767"/>
      <c r="BT165" s="1767"/>
      <c r="BU165" s="1767"/>
      <c r="BV165" s="1767"/>
      <c r="BW165" s="1767"/>
      <c r="BX165" s="1767"/>
      <c r="BY165" s="1767"/>
      <c r="BZ165" s="1767"/>
      <c r="CA165" s="1767"/>
      <c r="CB165" s="1767"/>
      <c r="CC165" s="1767"/>
      <c r="CD165" s="1767"/>
      <c r="CE165" s="1767"/>
      <c r="CF165" s="1767"/>
    </row>
    <row r="166" spans="1:84" ht="45" customHeight="1">
      <c r="A166" s="1726"/>
      <c r="B166" s="1083"/>
      <c r="C166" s="348"/>
      <c r="D166" s="2609"/>
      <c r="E166" s="2599" t="s">
        <v>104</v>
      </c>
      <c r="F166" s="2365" t="s">
        <v>92</v>
      </c>
      <c r="G166" s="2602" t="s">
        <v>745</v>
      </c>
      <c r="H166" s="226"/>
      <c r="I166" s="573" t="s">
        <v>100</v>
      </c>
      <c r="J166" s="1727" t="s">
        <v>648</v>
      </c>
      <c r="K166" s="574" t="s">
        <v>563</v>
      </c>
      <c r="L166" s="2479" t="s">
        <v>563</v>
      </c>
      <c r="M166" s="2415"/>
      <c r="N166" s="574" t="s">
        <v>563</v>
      </c>
      <c r="O166" s="574" t="s">
        <v>563</v>
      </c>
      <c r="P166" s="574" t="s">
        <v>563</v>
      </c>
      <c r="Q166" s="575">
        <f>SUM(Q167:Q169)</f>
        <v>336.16</v>
      </c>
      <c r="R166" s="575">
        <f>IF('Показатели ФХД'!N89=0,0,($Q$166/'Показатели ФХД'!N89)*100)</f>
        <v>0.24186829236006116</v>
      </c>
      <c r="S166" s="2439"/>
      <c r="T166" s="653" t="s">
        <v>646</v>
      </c>
      <c r="U166" s="2609"/>
      <c r="V166" s="2609"/>
      <c r="W166" s="1767"/>
      <c r="X166" s="1767"/>
      <c r="Y166" s="1767"/>
      <c r="Z166" s="1767"/>
      <c r="AA166" s="1767"/>
      <c r="AB166" s="1767"/>
      <c r="AC166" s="2609"/>
      <c r="AD166" s="1767"/>
      <c r="AE166" s="1767"/>
      <c r="AF166" s="1767"/>
      <c r="AG166" s="1767"/>
      <c r="AH166" s="1767"/>
      <c r="AI166" s="1767"/>
      <c r="AJ166" s="1767"/>
      <c r="AK166" s="1767"/>
      <c r="AL166" s="1767"/>
      <c r="AM166" s="1767"/>
      <c r="AN166" s="1767"/>
      <c r="AO166" s="1767"/>
      <c r="AP166" s="1767"/>
      <c r="AQ166" s="1767"/>
      <c r="AR166" s="1767"/>
      <c r="AS166" s="1767"/>
      <c r="AT166" s="1767"/>
      <c r="AU166" s="1767"/>
      <c r="AV166" s="1767"/>
      <c r="AW166" s="1767"/>
      <c r="AX166" s="1767"/>
      <c r="AY166" s="1767"/>
      <c r="AZ166" s="1767"/>
      <c r="BA166" s="1767"/>
      <c r="BB166" s="1767"/>
      <c r="BC166" s="1767"/>
      <c r="BD166" s="1767"/>
      <c r="BE166" s="1767"/>
      <c r="BF166" s="1767"/>
      <c r="BG166" s="1767"/>
      <c r="BH166" s="1767"/>
      <c r="BI166" s="1767"/>
      <c r="BJ166" s="1767"/>
      <c r="BK166" s="1767"/>
      <c r="BL166" s="1767"/>
      <c r="BM166" s="1767"/>
      <c r="BN166" s="1767"/>
      <c r="BO166" s="1767"/>
      <c r="BP166" s="1767"/>
      <c r="BQ166" s="1767"/>
      <c r="BR166" s="1767"/>
      <c r="BS166" s="1767"/>
      <c r="BT166" s="1767"/>
      <c r="BU166" s="1767"/>
      <c r="BV166" s="1767"/>
      <c r="BW166" s="1767"/>
      <c r="BX166" s="1767"/>
      <c r="BY166" s="1767"/>
      <c r="BZ166" s="1767"/>
      <c r="CA166" s="1767"/>
      <c r="CB166" s="1767"/>
      <c r="CC166" s="1767"/>
      <c r="CD166" s="1767"/>
      <c r="CE166" s="1767"/>
      <c r="CF166" s="1767"/>
    </row>
    <row r="167" spans="1:84" ht="11.25" customHeight="1">
      <c r="A167" s="1726"/>
      <c r="B167" s="1083"/>
      <c r="C167" s="348"/>
      <c r="D167" s="2609"/>
      <c r="E167" s="2600"/>
      <c r="F167" s="2365" t="s">
        <v>91</v>
      </c>
      <c r="G167" s="2602"/>
      <c r="H167" s="2371"/>
      <c r="I167" s="2604" t="s">
        <v>649</v>
      </c>
      <c r="J167" s="2605" t="s">
        <v>591</v>
      </c>
      <c r="K167" s="2606" t="s">
        <v>746</v>
      </c>
      <c r="L167" s="576"/>
      <c r="M167" s="577" t="s">
        <v>100</v>
      </c>
      <c r="N167" s="1715" t="s">
        <v>747</v>
      </c>
      <c r="O167" s="578">
        <f>Q167</f>
        <v>336.16</v>
      </c>
      <c r="P167" s="579" t="s">
        <v>569</v>
      </c>
      <c r="Q167" s="578">
        <v>336.16</v>
      </c>
      <c r="R167" s="580">
        <v>0</v>
      </c>
      <c r="S167" s="2439"/>
      <c r="T167" s="653"/>
      <c r="U167" s="2609"/>
      <c r="V167" s="2609"/>
      <c r="W167" s="1767"/>
      <c r="X167" s="1767"/>
      <c r="Y167" s="1767"/>
      <c r="Z167" s="1767"/>
      <c r="AA167" s="1767"/>
      <c r="AB167" s="1767"/>
      <c r="AC167" s="2609"/>
      <c r="AD167" s="1767"/>
      <c r="AE167" s="1767"/>
      <c r="AF167" s="1767"/>
      <c r="AG167" s="1767"/>
      <c r="AH167" s="1767"/>
      <c r="AI167" s="1767"/>
      <c r="AJ167" s="1767"/>
      <c r="AK167" s="1767"/>
      <c r="AL167" s="1767"/>
      <c r="AM167" s="1767"/>
      <c r="AN167" s="1767"/>
      <c r="AO167" s="1767"/>
      <c r="AP167" s="1767"/>
      <c r="AQ167" s="1767"/>
      <c r="AR167" s="1767"/>
      <c r="AS167" s="1767"/>
      <c r="AT167" s="1767"/>
      <c r="AU167" s="1767"/>
      <c r="AV167" s="1767"/>
      <c r="AW167" s="1767"/>
      <c r="AX167" s="1767"/>
      <c r="AY167" s="1767"/>
      <c r="AZ167" s="1767"/>
      <c r="BA167" s="1767"/>
      <c r="BB167" s="1767"/>
      <c r="BC167" s="1767"/>
      <c r="BD167" s="1767"/>
      <c r="BE167" s="1767"/>
      <c r="BF167" s="1767"/>
      <c r="BG167" s="1767"/>
      <c r="BH167" s="1767"/>
      <c r="BI167" s="1767"/>
      <c r="BJ167" s="1767"/>
      <c r="BK167" s="1767"/>
      <c r="BL167" s="1767"/>
      <c r="BM167" s="1767"/>
      <c r="BN167" s="1767"/>
      <c r="BO167" s="1767"/>
      <c r="BP167" s="1767"/>
      <c r="BQ167" s="1767"/>
      <c r="BR167" s="1767"/>
      <c r="BS167" s="1767"/>
      <c r="BT167" s="1767"/>
      <c r="BU167" s="1767"/>
      <c r="BV167" s="1767"/>
      <c r="BW167" s="1767"/>
      <c r="BX167" s="1767"/>
      <c r="BY167" s="1767"/>
      <c r="BZ167" s="1767"/>
      <c r="CA167" s="1767"/>
      <c r="CB167" s="1767"/>
      <c r="CC167" s="1767"/>
      <c r="CD167" s="1767"/>
      <c r="CE167" s="1767"/>
      <c r="CF167" s="1767"/>
    </row>
    <row r="168" spans="1:84" ht="11.25" customHeight="1">
      <c r="A168" s="1726"/>
      <c r="B168" s="1083"/>
      <c r="C168" s="348"/>
      <c r="D168" s="2609"/>
      <c r="E168" s="2600"/>
      <c r="F168" s="2365" t="s">
        <v>91</v>
      </c>
      <c r="G168" s="2602"/>
      <c r="H168" s="2371"/>
      <c r="I168" s="2604"/>
      <c r="J168" s="2605"/>
      <c r="K168" s="2607"/>
      <c r="L168" s="581"/>
      <c r="M168" s="582"/>
      <c r="N168" s="583" t="s">
        <v>652</v>
      </c>
      <c r="O168" s="583"/>
      <c r="P168" s="583"/>
      <c r="Q168" s="583"/>
      <c r="R168" s="584"/>
      <c r="S168" s="2439"/>
      <c r="T168" s="653"/>
      <c r="U168" s="2609"/>
      <c r="V168" s="2609"/>
      <c r="W168" s="1767"/>
      <c r="X168" s="1767"/>
      <c r="Y168" s="1767"/>
      <c r="Z168" s="1767"/>
      <c r="AA168" s="1767"/>
      <c r="AB168" s="1767"/>
      <c r="AC168" s="2609"/>
      <c r="AD168" s="1767"/>
      <c r="AE168" s="1767"/>
      <c r="AF168" s="1767"/>
      <c r="AG168" s="1767"/>
      <c r="AH168" s="1767"/>
      <c r="AI168" s="1767"/>
      <c r="AJ168" s="1767"/>
      <c r="AK168" s="1767"/>
      <c r="AL168" s="1767"/>
      <c r="AM168" s="1767"/>
      <c r="AN168" s="1767"/>
      <c r="AO168" s="1767"/>
      <c r="AP168" s="1767"/>
      <c r="AQ168" s="1767"/>
      <c r="AR168" s="1767"/>
      <c r="AS168" s="1767"/>
      <c r="AT168" s="1767"/>
      <c r="AU168" s="1767"/>
      <c r="AV168" s="1767"/>
      <c r="AW168" s="1767"/>
      <c r="AX168" s="1767"/>
      <c r="AY168" s="1767"/>
      <c r="AZ168" s="1767"/>
      <c r="BA168" s="1767"/>
      <c r="BB168" s="1767"/>
      <c r="BC168" s="1767"/>
      <c r="BD168" s="1767"/>
      <c r="BE168" s="1767"/>
      <c r="BF168" s="1767"/>
      <c r="BG168" s="1767"/>
      <c r="BH168" s="1767"/>
      <c r="BI168" s="1767"/>
      <c r="BJ168" s="1767"/>
      <c r="BK168" s="1767"/>
      <c r="BL168" s="1767"/>
      <c r="BM168" s="1767"/>
      <c r="BN168" s="1767"/>
      <c r="BO168" s="1767"/>
      <c r="BP168" s="1767"/>
      <c r="BQ168" s="1767"/>
      <c r="BR168" s="1767"/>
      <c r="BS168" s="1767"/>
      <c r="BT168" s="1767"/>
      <c r="BU168" s="1767"/>
      <c r="BV168" s="1767"/>
      <c r="BW168" s="1767"/>
      <c r="BX168" s="1767"/>
      <c r="BY168" s="1767"/>
      <c r="BZ168" s="1767"/>
      <c r="CA168" s="1767"/>
      <c r="CB168" s="1767"/>
      <c r="CC168" s="1767"/>
      <c r="CD168" s="1767"/>
      <c r="CE168" s="1767"/>
      <c r="CF168" s="1767"/>
    </row>
    <row r="169" spans="1:84" ht="11.25" customHeight="1">
      <c r="A169" s="1726"/>
      <c r="B169" s="1083"/>
      <c r="C169" s="348"/>
      <c r="D169" s="2609"/>
      <c r="E169" s="2601"/>
      <c r="F169" s="2365" t="s">
        <v>91</v>
      </c>
      <c r="G169" s="2603"/>
      <c r="H169" s="581" t="s">
        <v>22</v>
      </c>
      <c r="I169" s="582"/>
      <c r="J169" s="583" t="s">
        <v>656</v>
      </c>
      <c r="K169" s="583"/>
      <c r="L169" s="583"/>
      <c r="M169" s="583"/>
      <c r="N169" s="583"/>
      <c r="O169" s="583"/>
      <c r="P169" s="583"/>
      <c r="Q169" s="583"/>
      <c r="R169" s="584"/>
      <c r="S169" s="2439"/>
      <c r="T169" s="653"/>
      <c r="U169" s="2609"/>
      <c r="V169" s="2609"/>
      <c r="W169" s="1767"/>
      <c r="X169" s="1767"/>
      <c r="Y169" s="1767"/>
      <c r="Z169" s="1767"/>
      <c r="AA169" s="1767"/>
      <c r="AB169" s="1767"/>
      <c r="AC169" s="2609"/>
      <c r="AD169" s="1767"/>
      <c r="AE169" s="1767"/>
      <c r="AF169" s="1767"/>
      <c r="AG169" s="1767"/>
      <c r="AH169" s="1767"/>
      <c r="AI169" s="1767"/>
      <c r="AJ169" s="1767"/>
      <c r="AK169" s="1767"/>
      <c r="AL169" s="1767"/>
      <c r="AM169" s="1767"/>
      <c r="AN169" s="1767"/>
      <c r="AO169" s="1767"/>
      <c r="AP169" s="1767"/>
      <c r="AQ169" s="1767"/>
      <c r="AR169" s="1767"/>
      <c r="AS169" s="1767"/>
      <c r="AT169" s="1767"/>
      <c r="AU169" s="1767"/>
      <c r="AV169" s="1767"/>
      <c r="AW169" s="1767"/>
      <c r="AX169" s="1767"/>
      <c r="AY169" s="1767"/>
      <c r="AZ169" s="1767"/>
      <c r="BA169" s="1767"/>
      <c r="BB169" s="1767"/>
      <c r="BC169" s="1767"/>
      <c r="BD169" s="1767"/>
      <c r="BE169" s="1767"/>
      <c r="BF169" s="1767"/>
      <c r="BG169" s="1767"/>
      <c r="BH169" s="1767"/>
      <c r="BI169" s="1767"/>
      <c r="BJ169" s="1767"/>
      <c r="BK169" s="1767"/>
      <c r="BL169" s="1767"/>
      <c r="BM169" s="1767"/>
      <c r="BN169" s="1767"/>
      <c r="BO169" s="1767"/>
      <c r="BP169" s="1767"/>
      <c r="BQ169" s="1767"/>
      <c r="BR169" s="1767"/>
      <c r="BS169" s="1767"/>
      <c r="BT169" s="1767"/>
      <c r="BU169" s="1767"/>
      <c r="BV169" s="1767"/>
      <c r="BW169" s="1767"/>
      <c r="BX169" s="1767"/>
      <c r="BY169" s="1767"/>
      <c r="BZ169" s="1767"/>
      <c r="CA169" s="1767"/>
      <c r="CB169" s="1767"/>
      <c r="CC169" s="1767"/>
      <c r="CD169" s="1767"/>
      <c r="CE169" s="1767"/>
      <c r="CF169" s="1767"/>
    </row>
    <row r="170" spans="1:84" ht="45" customHeight="1">
      <c r="A170" s="1726"/>
      <c r="B170" s="1083"/>
      <c r="C170" s="348"/>
      <c r="D170" s="2609"/>
      <c r="E170" s="2599" t="s">
        <v>104</v>
      </c>
      <c r="F170" s="2365" t="s">
        <v>123</v>
      </c>
      <c r="G170" s="2602" t="s">
        <v>748</v>
      </c>
      <c r="H170" s="226"/>
      <c r="I170" s="573" t="s">
        <v>100</v>
      </c>
      <c r="J170" s="1727" t="s">
        <v>648</v>
      </c>
      <c r="K170" s="574" t="s">
        <v>563</v>
      </c>
      <c r="L170" s="2479" t="s">
        <v>563</v>
      </c>
      <c r="M170" s="2415"/>
      <c r="N170" s="574" t="s">
        <v>563</v>
      </c>
      <c r="O170" s="574" t="s">
        <v>563</v>
      </c>
      <c r="P170" s="574" t="s">
        <v>563</v>
      </c>
      <c r="Q170" s="575">
        <f>SUM(Q171:Q175)</f>
        <v>6856.7</v>
      </c>
      <c r="R170" s="575">
        <f>IF('Показатели ФХД'!N89=0,0,($Q$170/'Показатели ФХД'!N89)*100)</f>
        <v>4.9334195627832917</v>
      </c>
      <c r="S170" s="2439"/>
      <c r="T170" s="653" t="s">
        <v>646</v>
      </c>
      <c r="U170" s="2609"/>
      <c r="V170" s="2609"/>
      <c r="W170" s="1767"/>
      <c r="X170" s="1767"/>
      <c r="Y170" s="1767"/>
      <c r="Z170" s="1767"/>
      <c r="AA170" s="1767"/>
      <c r="AB170" s="1767"/>
      <c r="AC170" s="2609"/>
      <c r="AD170" s="1767"/>
      <c r="AE170" s="1767"/>
      <c r="AF170" s="1767"/>
      <c r="AG170" s="1767"/>
      <c r="AH170" s="1767"/>
      <c r="AI170" s="1767"/>
      <c r="AJ170" s="1767"/>
      <c r="AK170" s="1767"/>
      <c r="AL170" s="1767"/>
      <c r="AM170" s="1767"/>
      <c r="AN170" s="1767"/>
      <c r="AO170" s="1767"/>
      <c r="AP170" s="1767"/>
      <c r="AQ170" s="1767"/>
      <c r="AR170" s="1767"/>
      <c r="AS170" s="1767"/>
      <c r="AT170" s="1767"/>
      <c r="AU170" s="1767"/>
      <c r="AV170" s="1767"/>
      <c r="AW170" s="1767"/>
      <c r="AX170" s="1767"/>
      <c r="AY170" s="1767"/>
      <c r="AZ170" s="1767"/>
      <c r="BA170" s="1767"/>
      <c r="BB170" s="1767"/>
      <c r="BC170" s="1767"/>
      <c r="BD170" s="1767"/>
      <c r="BE170" s="1767"/>
      <c r="BF170" s="1767"/>
      <c r="BG170" s="1767"/>
      <c r="BH170" s="1767"/>
      <c r="BI170" s="1767"/>
      <c r="BJ170" s="1767"/>
      <c r="BK170" s="1767"/>
      <c r="BL170" s="1767"/>
      <c r="BM170" s="1767"/>
      <c r="BN170" s="1767"/>
      <c r="BO170" s="1767"/>
      <c r="BP170" s="1767"/>
      <c r="BQ170" s="1767"/>
      <c r="BR170" s="1767"/>
      <c r="BS170" s="1767"/>
      <c r="BT170" s="1767"/>
      <c r="BU170" s="1767"/>
      <c r="BV170" s="1767"/>
      <c r="BW170" s="1767"/>
      <c r="BX170" s="1767"/>
      <c r="BY170" s="1767"/>
      <c r="BZ170" s="1767"/>
      <c r="CA170" s="1767"/>
      <c r="CB170" s="1767"/>
      <c r="CC170" s="1767"/>
      <c r="CD170" s="1767"/>
      <c r="CE170" s="1767"/>
      <c r="CF170" s="1767"/>
    </row>
    <row r="171" spans="1:84" ht="11.25" customHeight="1">
      <c r="A171" s="1726"/>
      <c r="B171" s="1083"/>
      <c r="C171" s="348"/>
      <c r="D171" s="2609"/>
      <c r="E171" s="2600"/>
      <c r="F171" s="2365" t="s">
        <v>92</v>
      </c>
      <c r="G171" s="2602"/>
      <c r="H171" s="2371"/>
      <c r="I171" s="2604" t="s">
        <v>649</v>
      </c>
      <c r="J171" s="2605" t="s">
        <v>591</v>
      </c>
      <c r="K171" s="2606" t="s">
        <v>749</v>
      </c>
      <c r="L171" s="576"/>
      <c r="M171" s="577" t="s">
        <v>100</v>
      </c>
      <c r="N171" s="1715" t="s">
        <v>750</v>
      </c>
      <c r="O171" s="578">
        <f>Q171</f>
        <v>2094.4499999999998</v>
      </c>
      <c r="P171" s="579" t="s">
        <v>569</v>
      </c>
      <c r="Q171" s="578">
        <v>2094.4499999999998</v>
      </c>
      <c r="R171" s="580">
        <v>0</v>
      </c>
      <c r="S171" s="2439"/>
      <c r="T171" s="653"/>
      <c r="U171" s="2609"/>
      <c r="V171" s="2609"/>
      <c r="W171" s="1767"/>
      <c r="X171" s="1767"/>
      <c r="Y171" s="1767"/>
      <c r="Z171" s="1767"/>
      <c r="AA171" s="1767"/>
      <c r="AB171" s="1767"/>
      <c r="AC171" s="2609"/>
      <c r="AD171" s="1767"/>
      <c r="AE171" s="1767"/>
      <c r="AF171" s="1767"/>
      <c r="AG171" s="1767"/>
      <c r="AH171" s="1767"/>
      <c r="AI171" s="1767"/>
      <c r="AJ171" s="1767"/>
      <c r="AK171" s="1767"/>
      <c r="AL171" s="1767"/>
      <c r="AM171" s="1767"/>
      <c r="AN171" s="1767"/>
      <c r="AO171" s="1767"/>
      <c r="AP171" s="1767"/>
      <c r="AQ171" s="1767"/>
      <c r="AR171" s="1767"/>
      <c r="AS171" s="1767"/>
      <c r="AT171" s="1767"/>
      <c r="AU171" s="1767"/>
      <c r="AV171" s="1767"/>
      <c r="AW171" s="1767"/>
      <c r="AX171" s="1767"/>
      <c r="AY171" s="1767"/>
      <c r="AZ171" s="1767"/>
      <c r="BA171" s="1767"/>
      <c r="BB171" s="1767"/>
      <c r="BC171" s="1767"/>
      <c r="BD171" s="1767"/>
      <c r="BE171" s="1767"/>
      <c r="BF171" s="1767"/>
      <c r="BG171" s="1767"/>
      <c r="BH171" s="1767"/>
      <c r="BI171" s="1767"/>
      <c r="BJ171" s="1767"/>
      <c r="BK171" s="1767"/>
      <c r="BL171" s="1767"/>
      <c r="BM171" s="1767"/>
      <c r="BN171" s="1767"/>
      <c r="BO171" s="1767"/>
      <c r="BP171" s="1767"/>
      <c r="BQ171" s="1767"/>
      <c r="BR171" s="1767"/>
      <c r="BS171" s="1767"/>
      <c r="BT171" s="1767"/>
      <c r="BU171" s="1767"/>
      <c r="BV171" s="1767"/>
      <c r="BW171" s="1767"/>
      <c r="BX171" s="1767"/>
      <c r="BY171" s="1767"/>
      <c r="BZ171" s="1767"/>
      <c r="CA171" s="1767"/>
      <c r="CB171" s="1767"/>
      <c r="CC171" s="1767"/>
      <c r="CD171" s="1767"/>
      <c r="CE171" s="1767"/>
      <c r="CF171" s="1767"/>
    </row>
    <row r="172" spans="1:84" ht="11.25" customHeight="1">
      <c r="A172" s="1726"/>
      <c r="B172" s="1083"/>
      <c r="C172" s="348"/>
      <c r="D172" s="2609"/>
      <c r="E172" s="2600"/>
      <c r="F172" s="2365" t="s">
        <v>92</v>
      </c>
      <c r="G172" s="2602"/>
      <c r="H172" s="2371"/>
      <c r="I172" s="2604"/>
      <c r="J172" s="2605"/>
      <c r="K172" s="2607"/>
      <c r="L172" s="581"/>
      <c r="M172" s="582"/>
      <c r="N172" s="583" t="s">
        <v>652</v>
      </c>
      <c r="O172" s="583"/>
      <c r="P172" s="583"/>
      <c r="Q172" s="583"/>
      <c r="R172" s="584"/>
      <c r="S172" s="2439"/>
      <c r="T172" s="653"/>
      <c r="U172" s="2609"/>
      <c r="V172" s="2609"/>
      <c r="W172" s="1767"/>
      <c r="X172" s="1767"/>
      <c r="Y172" s="1767"/>
      <c r="Z172" s="1767"/>
      <c r="AA172" s="1767"/>
      <c r="AB172" s="1767"/>
      <c r="AC172" s="2609"/>
      <c r="AD172" s="1767"/>
      <c r="AE172" s="1767"/>
      <c r="AF172" s="1767"/>
      <c r="AG172" s="1767"/>
      <c r="AH172" s="1767"/>
      <c r="AI172" s="1767"/>
      <c r="AJ172" s="1767"/>
      <c r="AK172" s="1767"/>
      <c r="AL172" s="1767"/>
      <c r="AM172" s="1767"/>
      <c r="AN172" s="1767"/>
      <c r="AO172" s="1767"/>
      <c r="AP172" s="1767"/>
      <c r="AQ172" s="1767"/>
      <c r="AR172" s="1767"/>
      <c r="AS172" s="1767"/>
      <c r="AT172" s="1767"/>
      <c r="AU172" s="1767"/>
      <c r="AV172" s="1767"/>
      <c r="AW172" s="1767"/>
      <c r="AX172" s="1767"/>
      <c r="AY172" s="1767"/>
      <c r="AZ172" s="1767"/>
      <c r="BA172" s="1767"/>
      <c r="BB172" s="1767"/>
      <c r="BC172" s="1767"/>
      <c r="BD172" s="1767"/>
      <c r="BE172" s="1767"/>
      <c r="BF172" s="1767"/>
      <c r="BG172" s="1767"/>
      <c r="BH172" s="1767"/>
      <c r="BI172" s="1767"/>
      <c r="BJ172" s="1767"/>
      <c r="BK172" s="1767"/>
      <c r="BL172" s="1767"/>
      <c r="BM172" s="1767"/>
      <c r="BN172" s="1767"/>
      <c r="BO172" s="1767"/>
      <c r="BP172" s="1767"/>
      <c r="BQ172" s="1767"/>
      <c r="BR172" s="1767"/>
      <c r="BS172" s="1767"/>
      <c r="BT172" s="1767"/>
      <c r="BU172" s="1767"/>
      <c r="BV172" s="1767"/>
      <c r="BW172" s="1767"/>
      <c r="BX172" s="1767"/>
      <c r="BY172" s="1767"/>
      <c r="BZ172" s="1767"/>
      <c r="CA172" s="1767"/>
      <c r="CB172" s="1767"/>
      <c r="CC172" s="1767"/>
      <c r="CD172" s="1767"/>
      <c r="CE172" s="1767"/>
      <c r="CF172" s="1767"/>
    </row>
    <row r="173" spans="1:84" ht="11.25" customHeight="1">
      <c r="A173" s="1726"/>
      <c r="B173" s="1083"/>
      <c r="C173" s="348"/>
      <c r="D173" s="2609"/>
      <c r="E173" s="2608"/>
      <c r="F173" s="2608"/>
      <c r="G173" s="2608"/>
      <c r="H173" s="2371" t="s">
        <v>104</v>
      </c>
      <c r="I173" s="2604" t="s">
        <v>653</v>
      </c>
      <c r="J173" s="2605" t="s">
        <v>591</v>
      </c>
      <c r="K173" s="2606" t="s">
        <v>751</v>
      </c>
      <c r="L173" s="576"/>
      <c r="M173" s="577" t="s">
        <v>100</v>
      </c>
      <c r="N173" s="1715" t="s">
        <v>752</v>
      </c>
      <c r="O173" s="578">
        <f>Q173</f>
        <v>4762.25</v>
      </c>
      <c r="P173" s="579" t="s">
        <v>569</v>
      </c>
      <c r="Q173" s="578">
        <v>4762.25</v>
      </c>
      <c r="R173" s="580">
        <v>0</v>
      </c>
      <c r="S173" s="2609"/>
      <c r="T173" s="653"/>
      <c r="U173" s="2609"/>
      <c r="V173" s="2609"/>
      <c r="W173" s="1767"/>
      <c r="X173" s="1767"/>
      <c r="Y173" s="1767"/>
      <c r="Z173" s="1767"/>
      <c r="AA173" s="1767"/>
      <c r="AB173" s="1767"/>
      <c r="AC173" s="2609"/>
      <c r="AD173" s="1767"/>
      <c r="AE173" s="1767"/>
      <c r="AF173" s="1767"/>
      <c r="AG173" s="1767"/>
      <c r="AH173" s="1767"/>
      <c r="AI173" s="1767"/>
      <c r="AJ173" s="1767"/>
      <c r="AK173" s="1767"/>
      <c r="AL173" s="1767"/>
      <c r="AM173" s="1767"/>
      <c r="AN173" s="1767"/>
      <c r="AO173" s="1767"/>
      <c r="AP173" s="1767"/>
      <c r="AQ173" s="1767"/>
      <c r="AR173" s="1767"/>
      <c r="AS173" s="1767"/>
      <c r="AT173" s="1767"/>
      <c r="AU173" s="1767"/>
      <c r="AV173" s="1767"/>
      <c r="AW173" s="1767"/>
      <c r="AX173" s="1767"/>
      <c r="AY173" s="1767"/>
      <c r="AZ173" s="1767"/>
      <c r="BA173" s="1767"/>
      <c r="BB173" s="1767"/>
      <c r="BC173" s="1767"/>
      <c r="BD173" s="1767"/>
      <c r="BE173" s="1767"/>
      <c r="BF173" s="1767"/>
      <c r="BG173" s="1767"/>
      <c r="BH173" s="1767"/>
      <c r="BI173" s="1767"/>
      <c r="BJ173" s="1767"/>
      <c r="BK173" s="1767"/>
      <c r="BL173" s="1767"/>
      <c r="BM173" s="1767"/>
      <c r="BN173" s="1767"/>
      <c r="BO173" s="1767"/>
      <c r="BP173" s="1767"/>
      <c r="BQ173" s="1767"/>
      <c r="BR173" s="1767"/>
      <c r="BS173" s="1767"/>
      <c r="BT173" s="1767"/>
      <c r="BU173" s="1767"/>
      <c r="BV173" s="1767"/>
      <c r="BW173" s="1767"/>
      <c r="BX173" s="1767"/>
      <c r="BY173" s="1767"/>
      <c r="BZ173" s="1767"/>
      <c r="CA173" s="1767"/>
      <c r="CB173" s="1767"/>
      <c r="CC173" s="1767"/>
      <c r="CD173" s="1767"/>
      <c r="CE173" s="1767"/>
      <c r="CF173" s="1767"/>
    </row>
    <row r="174" spans="1:84" ht="11.25" customHeight="1">
      <c r="A174" s="1726"/>
      <c r="B174" s="1083"/>
      <c r="C174" s="348"/>
      <c r="D174" s="2609"/>
      <c r="E174" s="2608"/>
      <c r="F174" s="2608"/>
      <c r="G174" s="2608"/>
      <c r="H174" s="2371"/>
      <c r="I174" s="2604" t="s">
        <v>649</v>
      </c>
      <c r="J174" s="2605"/>
      <c r="K174" s="2607"/>
      <c r="L174" s="581"/>
      <c r="M174" s="582"/>
      <c r="N174" s="583" t="s">
        <v>652</v>
      </c>
      <c r="O174" s="583"/>
      <c r="P174" s="583"/>
      <c r="Q174" s="583"/>
      <c r="R174" s="584"/>
      <c r="S174" s="2609"/>
      <c r="T174" s="653"/>
      <c r="U174" s="2609"/>
      <c r="V174" s="2609"/>
      <c r="W174" s="1767"/>
      <c r="X174" s="1767"/>
      <c r="Y174" s="1767"/>
      <c r="Z174" s="1767"/>
      <c r="AA174" s="1767"/>
      <c r="AB174" s="1767"/>
      <c r="AC174" s="2609"/>
      <c r="AD174" s="1767"/>
      <c r="AE174" s="1767"/>
      <c r="AF174" s="1767"/>
      <c r="AG174" s="1767"/>
      <c r="AH174" s="1767"/>
      <c r="AI174" s="1767"/>
      <c r="AJ174" s="1767"/>
      <c r="AK174" s="1767"/>
      <c r="AL174" s="1767"/>
      <c r="AM174" s="1767"/>
      <c r="AN174" s="1767"/>
      <c r="AO174" s="1767"/>
      <c r="AP174" s="1767"/>
      <c r="AQ174" s="1767"/>
      <c r="AR174" s="1767"/>
      <c r="AS174" s="1767"/>
      <c r="AT174" s="1767"/>
      <c r="AU174" s="1767"/>
      <c r="AV174" s="1767"/>
      <c r="AW174" s="1767"/>
      <c r="AX174" s="1767"/>
      <c r="AY174" s="1767"/>
      <c r="AZ174" s="1767"/>
      <c r="BA174" s="1767"/>
      <c r="BB174" s="1767"/>
      <c r="BC174" s="1767"/>
      <c r="BD174" s="1767"/>
      <c r="BE174" s="1767"/>
      <c r="BF174" s="1767"/>
      <c r="BG174" s="1767"/>
      <c r="BH174" s="1767"/>
      <c r="BI174" s="1767"/>
      <c r="BJ174" s="1767"/>
      <c r="BK174" s="1767"/>
      <c r="BL174" s="1767"/>
      <c r="BM174" s="1767"/>
      <c r="BN174" s="1767"/>
      <c r="BO174" s="1767"/>
      <c r="BP174" s="1767"/>
      <c r="BQ174" s="1767"/>
      <c r="BR174" s="1767"/>
      <c r="BS174" s="1767"/>
      <c r="BT174" s="1767"/>
      <c r="BU174" s="1767"/>
      <c r="BV174" s="1767"/>
      <c r="BW174" s="1767"/>
      <c r="BX174" s="1767"/>
      <c r="BY174" s="1767"/>
      <c r="BZ174" s="1767"/>
      <c r="CA174" s="1767"/>
      <c r="CB174" s="1767"/>
      <c r="CC174" s="1767"/>
      <c r="CD174" s="1767"/>
      <c r="CE174" s="1767"/>
      <c r="CF174" s="1767"/>
    </row>
    <row r="175" spans="1:84" ht="11.25" customHeight="1">
      <c r="A175" s="1726"/>
      <c r="B175" s="1083"/>
      <c r="C175" s="348"/>
      <c r="D175" s="2609"/>
      <c r="E175" s="2601"/>
      <c r="F175" s="2365" t="s">
        <v>92</v>
      </c>
      <c r="G175" s="2603"/>
      <c r="H175" s="581" t="s">
        <v>22</v>
      </c>
      <c r="I175" s="582"/>
      <c r="J175" s="583" t="s">
        <v>656</v>
      </c>
      <c r="K175" s="583"/>
      <c r="L175" s="583"/>
      <c r="M175" s="583"/>
      <c r="N175" s="583"/>
      <c r="O175" s="583"/>
      <c r="P175" s="583"/>
      <c r="Q175" s="583"/>
      <c r="R175" s="584"/>
      <c r="S175" s="2439"/>
      <c r="T175" s="653"/>
      <c r="U175" s="2609"/>
      <c r="V175" s="2609"/>
      <c r="W175" s="1767"/>
      <c r="X175" s="1767"/>
      <c r="Y175" s="1767"/>
      <c r="Z175" s="1767"/>
      <c r="AA175" s="1767"/>
      <c r="AB175" s="1767"/>
      <c r="AC175" s="2609"/>
      <c r="AD175" s="1767"/>
      <c r="AE175" s="1767"/>
      <c r="AF175" s="1767"/>
      <c r="AG175" s="1767"/>
      <c r="AH175" s="1767"/>
      <c r="AI175" s="1767"/>
      <c r="AJ175" s="1767"/>
      <c r="AK175" s="1767"/>
      <c r="AL175" s="1767"/>
      <c r="AM175" s="1767"/>
      <c r="AN175" s="1767"/>
      <c r="AO175" s="1767"/>
      <c r="AP175" s="1767"/>
      <c r="AQ175" s="1767"/>
      <c r="AR175" s="1767"/>
      <c r="AS175" s="1767"/>
      <c r="AT175" s="1767"/>
      <c r="AU175" s="1767"/>
      <c r="AV175" s="1767"/>
      <c r="AW175" s="1767"/>
      <c r="AX175" s="1767"/>
      <c r="AY175" s="1767"/>
      <c r="AZ175" s="1767"/>
      <c r="BA175" s="1767"/>
      <c r="BB175" s="1767"/>
      <c r="BC175" s="1767"/>
      <c r="BD175" s="1767"/>
      <c r="BE175" s="1767"/>
      <c r="BF175" s="1767"/>
      <c r="BG175" s="1767"/>
      <c r="BH175" s="1767"/>
      <c r="BI175" s="1767"/>
      <c r="BJ175" s="1767"/>
      <c r="BK175" s="1767"/>
      <c r="BL175" s="1767"/>
      <c r="BM175" s="1767"/>
      <c r="BN175" s="1767"/>
      <c r="BO175" s="1767"/>
      <c r="BP175" s="1767"/>
      <c r="BQ175" s="1767"/>
      <c r="BR175" s="1767"/>
      <c r="BS175" s="1767"/>
      <c r="BT175" s="1767"/>
      <c r="BU175" s="1767"/>
      <c r="BV175" s="1767"/>
      <c r="BW175" s="1767"/>
      <c r="BX175" s="1767"/>
      <c r="BY175" s="1767"/>
      <c r="BZ175" s="1767"/>
      <c r="CA175" s="1767"/>
      <c r="CB175" s="1767"/>
      <c r="CC175" s="1767"/>
      <c r="CD175" s="1767"/>
      <c r="CE175" s="1767"/>
      <c r="CF175" s="1767"/>
    </row>
    <row r="176" spans="1:84" ht="45" customHeight="1">
      <c r="A176" s="1726"/>
      <c r="B176" s="1083"/>
      <c r="C176" s="348"/>
      <c r="D176" s="2609"/>
      <c r="E176" s="2599" t="s">
        <v>104</v>
      </c>
      <c r="F176" s="2365" t="s">
        <v>93</v>
      </c>
      <c r="G176" s="2602" t="s">
        <v>753</v>
      </c>
      <c r="H176" s="226"/>
      <c r="I176" s="573" t="s">
        <v>100</v>
      </c>
      <c r="J176" s="1727" t="s">
        <v>648</v>
      </c>
      <c r="K176" s="574" t="s">
        <v>563</v>
      </c>
      <c r="L176" s="2479" t="s">
        <v>563</v>
      </c>
      <c r="M176" s="2415"/>
      <c r="N176" s="574" t="s">
        <v>563</v>
      </c>
      <c r="O176" s="574" t="s">
        <v>563</v>
      </c>
      <c r="P176" s="574" t="s">
        <v>563</v>
      </c>
      <c r="Q176" s="575">
        <f>SUM(Q177:Q179)</f>
        <v>711.03</v>
      </c>
      <c r="R176" s="575">
        <f>IF('Показатели ФХД'!N89=0,0,($Q$176/'Показатели ФХД'!N89)*100)</f>
        <v>0.51158856472148462</v>
      </c>
      <c r="S176" s="2439"/>
      <c r="T176" s="653" t="s">
        <v>646</v>
      </c>
      <c r="U176" s="2609"/>
      <c r="V176" s="2609"/>
      <c r="W176" s="1767"/>
      <c r="X176" s="1767"/>
      <c r="Y176" s="1767"/>
      <c r="Z176" s="1767"/>
      <c r="AA176" s="1767"/>
      <c r="AB176" s="1767"/>
      <c r="AC176" s="2609"/>
      <c r="AD176" s="1767"/>
      <c r="AE176" s="1767"/>
      <c r="AF176" s="1767"/>
      <c r="AG176" s="1767"/>
      <c r="AH176" s="1767"/>
      <c r="AI176" s="1767"/>
      <c r="AJ176" s="1767"/>
      <c r="AK176" s="1767"/>
      <c r="AL176" s="1767"/>
      <c r="AM176" s="1767"/>
      <c r="AN176" s="1767"/>
      <c r="AO176" s="1767"/>
      <c r="AP176" s="1767"/>
      <c r="AQ176" s="1767"/>
      <c r="AR176" s="1767"/>
      <c r="AS176" s="1767"/>
      <c r="AT176" s="1767"/>
      <c r="AU176" s="1767"/>
      <c r="AV176" s="1767"/>
      <c r="AW176" s="1767"/>
      <c r="AX176" s="1767"/>
      <c r="AY176" s="1767"/>
      <c r="AZ176" s="1767"/>
      <c r="BA176" s="1767"/>
      <c r="BB176" s="1767"/>
      <c r="BC176" s="1767"/>
      <c r="BD176" s="1767"/>
      <c r="BE176" s="1767"/>
      <c r="BF176" s="1767"/>
      <c r="BG176" s="1767"/>
      <c r="BH176" s="1767"/>
      <c r="BI176" s="1767"/>
      <c r="BJ176" s="1767"/>
      <c r="BK176" s="1767"/>
      <c r="BL176" s="1767"/>
      <c r="BM176" s="1767"/>
      <c r="BN176" s="1767"/>
      <c r="BO176" s="1767"/>
      <c r="BP176" s="1767"/>
      <c r="BQ176" s="1767"/>
      <c r="BR176" s="1767"/>
      <c r="BS176" s="1767"/>
      <c r="BT176" s="1767"/>
      <c r="BU176" s="1767"/>
      <c r="BV176" s="1767"/>
      <c r="BW176" s="1767"/>
      <c r="BX176" s="1767"/>
      <c r="BY176" s="1767"/>
      <c r="BZ176" s="1767"/>
      <c r="CA176" s="1767"/>
      <c r="CB176" s="1767"/>
      <c r="CC176" s="1767"/>
      <c r="CD176" s="1767"/>
      <c r="CE176" s="1767"/>
      <c r="CF176" s="1767"/>
    </row>
    <row r="177" spans="1:84" ht="11.25" customHeight="1">
      <c r="A177" s="1726"/>
      <c r="B177" s="1083"/>
      <c r="C177" s="348"/>
      <c r="D177" s="2609"/>
      <c r="E177" s="2600"/>
      <c r="F177" s="2365" t="s">
        <v>123</v>
      </c>
      <c r="G177" s="2602"/>
      <c r="H177" s="2371"/>
      <c r="I177" s="2604" t="s">
        <v>649</v>
      </c>
      <c r="J177" s="2605" t="s">
        <v>591</v>
      </c>
      <c r="K177" s="2606" t="s">
        <v>754</v>
      </c>
      <c r="L177" s="576"/>
      <c r="M177" s="577" t="s">
        <v>100</v>
      </c>
      <c r="N177" s="1715" t="s">
        <v>755</v>
      </c>
      <c r="O177" s="578">
        <f>Q177</f>
        <v>711.03</v>
      </c>
      <c r="P177" s="579" t="s">
        <v>569</v>
      </c>
      <c r="Q177" s="578">
        <v>711.03</v>
      </c>
      <c r="R177" s="580">
        <v>0</v>
      </c>
      <c r="S177" s="2439"/>
      <c r="T177" s="653"/>
      <c r="U177" s="2609"/>
      <c r="V177" s="2609"/>
      <c r="W177" s="1767"/>
      <c r="X177" s="1767"/>
      <c r="Y177" s="1767"/>
      <c r="Z177" s="1767"/>
      <c r="AA177" s="1767"/>
      <c r="AB177" s="1767"/>
      <c r="AC177" s="2609"/>
      <c r="AD177" s="1767"/>
      <c r="AE177" s="1767"/>
      <c r="AF177" s="1767"/>
      <c r="AG177" s="1767"/>
      <c r="AH177" s="1767"/>
      <c r="AI177" s="1767"/>
      <c r="AJ177" s="1767"/>
      <c r="AK177" s="1767"/>
      <c r="AL177" s="1767"/>
      <c r="AM177" s="1767"/>
      <c r="AN177" s="1767"/>
      <c r="AO177" s="1767"/>
      <c r="AP177" s="1767"/>
      <c r="AQ177" s="1767"/>
      <c r="AR177" s="1767"/>
      <c r="AS177" s="1767"/>
      <c r="AT177" s="1767"/>
      <c r="AU177" s="1767"/>
      <c r="AV177" s="1767"/>
      <c r="AW177" s="1767"/>
      <c r="AX177" s="1767"/>
      <c r="AY177" s="1767"/>
      <c r="AZ177" s="1767"/>
      <c r="BA177" s="1767"/>
      <c r="BB177" s="1767"/>
      <c r="BC177" s="1767"/>
      <c r="BD177" s="1767"/>
      <c r="BE177" s="1767"/>
      <c r="BF177" s="1767"/>
      <c r="BG177" s="1767"/>
      <c r="BH177" s="1767"/>
      <c r="BI177" s="1767"/>
      <c r="BJ177" s="1767"/>
      <c r="BK177" s="1767"/>
      <c r="BL177" s="1767"/>
      <c r="BM177" s="1767"/>
      <c r="BN177" s="1767"/>
      <c r="BO177" s="1767"/>
      <c r="BP177" s="1767"/>
      <c r="BQ177" s="1767"/>
      <c r="BR177" s="1767"/>
      <c r="BS177" s="1767"/>
      <c r="BT177" s="1767"/>
      <c r="BU177" s="1767"/>
      <c r="BV177" s="1767"/>
      <c r="BW177" s="1767"/>
      <c r="BX177" s="1767"/>
      <c r="BY177" s="1767"/>
      <c r="BZ177" s="1767"/>
      <c r="CA177" s="1767"/>
      <c r="CB177" s="1767"/>
      <c r="CC177" s="1767"/>
      <c r="CD177" s="1767"/>
      <c r="CE177" s="1767"/>
      <c r="CF177" s="1767"/>
    </row>
    <row r="178" spans="1:84" ht="11.25" customHeight="1">
      <c r="A178" s="1726"/>
      <c r="B178" s="1083"/>
      <c r="C178" s="348"/>
      <c r="D178" s="2609"/>
      <c r="E178" s="2600"/>
      <c r="F178" s="2365" t="s">
        <v>123</v>
      </c>
      <c r="G178" s="2602"/>
      <c r="H178" s="2371"/>
      <c r="I178" s="2604"/>
      <c r="J178" s="2605"/>
      <c r="K178" s="2607"/>
      <c r="L178" s="581"/>
      <c r="M178" s="582"/>
      <c r="N178" s="583" t="s">
        <v>652</v>
      </c>
      <c r="O178" s="583"/>
      <c r="P178" s="583"/>
      <c r="Q178" s="583"/>
      <c r="R178" s="584"/>
      <c r="S178" s="2439"/>
      <c r="T178" s="653"/>
      <c r="U178" s="2609"/>
      <c r="V178" s="2609"/>
      <c r="W178" s="1767"/>
      <c r="X178" s="1767"/>
      <c r="Y178" s="1767"/>
      <c r="Z178" s="1767"/>
      <c r="AA178" s="1767"/>
      <c r="AB178" s="1767"/>
      <c r="AC178" s="2609"/>
      <c r="AD178" s="1767"/>
      <c r="AE178" s="1767"/>
      <c r="AF178" s="1767"/>
      <c r="AG178" s="1767"/>
      <c r="AH178" s="1767"/>
      <c r="AI178" s="1767"/>
      <c r="AJ178" s="1767"/>
      <c r="AK178" s="1767"/>
      <c r="AL178" s="1767"/>
      <c r="AM178" s="1767"/>
      <c r="AN178" s="1767"/>
      <c r="AO178" s="1767"/>
      <c r="AP178" s="1767"/>
      <c r="AQ178" s="1767"/>
      <c r="AR178" s="1767"/>
      <c r="AS178" s="1767"/>
      <c r="AT178" s="1767"/>
      <c r="AU178" s="1767"/>
      <c r="AV178" s="1767"/>
      <c r="AW178" s="1767"/>
      <c r="AX178" s="1767"/>
      <c r="AY178" s="1767"/>
      <c r="AZ178" s="1767"/>
      <c r="BA178" s="1767"/>
      <c r="BB178" s="1767"/>
      <c r="BC178" s="1767"/>
      <c r="BD178" s="1767"/>
      <c r="BE178" s="1767"/>
      <c r="BF178" s="1767"/>
      <c r="BG178" s="1767"/>
      <c r="BH178" s="1767"/>
      <c r="BI178" s="1767"/>
      <c r="BJ178" s="1767"/>
      <c r="BK178" s="1767"/>
      <c r="BL178" s="1767"/>
      <c r="BM178" s="1767"/>
      <c r="BN178" s="1767"/>
      <c r="BO178" s="1767"/>
      <c r="BP178" s="1767"/>
      <c r="BQ178" s="1767"/>
      <c r="BR178" s="1767"/>
      <c r="BS178" s="1767"/>
      <c r="BT178" s="1767"/>
      <c r="BU178" s="1767"/>
      <c r="BV178" s="1767"/>
      <c r="BW178" s="1767"/>
      <c r="BX178" s="1767"/>
      <c r="BY178" s="1767"/>
      <c r="BZ178" s="1767"/>
      <c r="CA178" s="1767"/>
      <c r="CB178" s="1767"/>
      <c r="CC178" s="1767"/>
      <c r="CD178" s="1767"/>
      <c r="CE178" s="1767"/>
      <c r="CF178" s="1767"/>
    </row>
    <row r="179" spans="1:84" ht="11.25" customHeight="1">
      <c r="A179" s="1726"/>
      <c r="B179" s="1083"/>
      <c r="C179" s="348"/>
      <c r="D179" s="2609"/>
      <c r="E179" s="2601"/>
      <c r="F179" s="2365" t="s">
        <v>123</v>
      </c>
      <c r="G179" s="2603"/>
      <c r="H179" s="581" t="s">
        <v>22</v>
      </c>
      <c r="I179" s="582"/>
      <c r="J179" s="583" t="s">
        <v>656</v>
      </c>
      <c r="K179" s="583"/>
      <c r="L179" s="583"/>
      <c r="M179" s="583"/>
      <c r="N179" s="583"/>
      <c r="O179" s="583"/>
      <c r="P179" s="583"/>
      <c r="Q179" s="583"/>
      <c r="R179" s="584"/>
      <c r="S179" s="2439"/>
      <c r="T179" s="653"/>
      <c r="U179" s="2609"/>
      <c r="V179" s="2609"/>
      <c r="W179" s="1767"/>
      <c r="X179" s="1767"/>
      <c r="Y179" s="1767"/>
      <c r="Z179" s="1767"/>
      <c r="AA179" s="1767"/>
      <c r="AB179" s="1767"/>
      <c r="AC179" s="2609"/>
      <c r="AD179" s="1767"/>
      <c r="AE179" s="1767"/>
      <c r="AF179" s="1767"/>
      <c r="AG179" s="1767"/>
      <c r="AH179" s="1767"/>
      <c r="AI179" s="1767"/>
      <c r="AJ179" s="1767"/>
      <c r="AK179" s="1767"/>
      <c r="AL179" s="1767"/>
      <c r="AM179" s="1767"/>
      <c r="AN179" s="1767"/>
      <c r="AO179" s="1767"/>
      <c r="AP179" s="1767"/>
      <c r="AQ179" s="1767"/>
      <c r="AR179" s="1767"/>
      <c r="AS179" s="1767"/>
      <c r="AT179" s="1767"/>
      <c r="AU179" s="1767"/>
      <c r="AV179" s="1767"/>
      <c r="AW179" s="1767"/>
      <c r="AX179" s="1767"/>
      <c r="AY179" s="1767"/>
      <c r="AZ179" s="1767"/>
      <c r="BA179" s="1767"/>
      <c r="BB179" s="1767"/>
      <c r="BC179" s="1767"/>
      <c r="BD179" s="1767"/>
      <c r="BE179" s="1767"/>
      <c r="BF179" s="1767"/>
      <c r="BG179" s="1767"/>
      <c r="BH179" s="1767"/>
      <c r="BI179" s="1767"/>
      <c r="BJ179" s="1767"/>
      <c r="BK179" s="1767"/>
      <c r="BL179" s="1767"/>
      <c r="BM179" s="1767"/>
      <c r="BN179" s="1767"/>
      <c r="BO179" s="1767"/>
      <c r="BP179" s="1767"/>
      <c r="BQ179" s="1767"/>
      <c r="BR179" s="1767"/>
      <c r="BS179" s="1767"/>
      <c r="BT179" s="1767"/>
      <c r="BU179" s="1767"/>
      <c r="BV179" s="1767"/>
      <c r="BW179" s="1767"/>
      <c r="BX179" s="1767"/>
      <c r="BY179" s="1767"/>
      <c r="BZ179" s="1767"/>
      <c r="CA179" s="1767"/>
      <c r="CB179" s="1767"/>
      <c r="CC179" s="1767"/>
      <c r="CD179" s="1767"/>
      <c r="CE179" s="1767"/>
      <c r="CF179" s="1767"/>
    </row>
    <row r="180" spans="1:84" ht="45" customHeight="1">
      <c r="A180" s="1726"/>
      <c r="B180" s="1083"/>
      <c r="C180" s="348"/>
      <c r="D180" s="2609"/>
      <c r="E180" s="2599" t="s">
        <v>104</v>
      </c>
      <c r="F180" s="2365" t="s">
        <v>94</v>
      </c>
      <c r="G180" s="2602" t="s">
        <v>756</v>
      </c>
      <c r="H180" s="226"/>
      <c r="I180" s="573" t="s">
        <v>100</v>
      </c>
      <c r="J180" s="1727" t="s">
        <v>648</v>
      </c>
      <c r="K180" s="574" t="s">
        <v>563</v>
      </c>
      <c r="L180" s="2479" t="s">
        <v>563</v>
      </c>
      <c r="M180" s="2415"/>
      <c r="N180" s="574" t="s">
        <v>563</v>
      </c>
      <c r="O180" s="574" t="s">
        <v>563</v>
      </c>
      <c r="P180" s="574" t="s">
        <v>563</v>
      </c>
      <c r="Q180" s="575">
        <f>SUM(Q181:Q183)</f>
        <v>3763.22</v>
      </c>
      <c r="R180" s="575">
        <f>IF('Показатели ФХД'!N89=0,0,($Q$180/'Показатели ФХД'!N89)*100)</f>
        <v>2.7076499142528236</v>
      </c>
      <c r="S180" s="2439"/>
      <c r="T180" s="653" t="s">
        <v>646</v>
      </c>
      <c r="U180" s="2609"/>
      <c r="V180" s="2609"/>
      <c r="W180" s="1767"/>
      <c r="X180" s="1767"/>
      <c r="Y180" s="1767"/>
      <c r="Z180" s="1767"/>
      <c r="AA180" s="1767"/>
      <c r="AB180" s="1767"/>
      <c r="AC180" s="2609"/>
      <c r="AD180" s="1767"/>
      <c r="AE180" s="1767"/>
      <c r="AF180" s="1767"/>
      <c r="AG180" s="1767"/>
      <c r="AH180" s="1767"/>
      <c r="AI180" s="1767"/>
      <c r="AJ180" s="1767"/>
      <c r="AK180" s="1767"/>
      <c r="AL180" s="1767"/>
      <c r="AM180" s="1767"/>
      <c r="AN180" s="1767"/>
      <c r="AO180" s="1767"/>
      <c r="AP180" s="1767"/>
      <c r="AQ180" s="1767"/>
      <c r="AR180" s="1767"/>
      <c r="AS180" s="1767"/>
      <c r="AT180" s="1767"/>
      <c r="AU180" s="1767"/>
      <c r="AV180" s="1767"/>
      <c r="AW180" s="1767"/>
      <c r="AX180" s="1767"/>
      <c r="AY180" s="1767"/>
      <c r="AZ180" s="1767"/>
      <c r="BA180" s="1767"/>
      <c r="BB180" s="1767"/>
      <c r="BC180" s="1767"/>
      <c r="BD180" s="1767"/>
      <c r="BE180" s="1767"/>
      <c r="BF180" s="1767"/>
      <c r="BG180" s="1767"/>
      <c r="BH180" s="1767"/>
      <c r="BI180" s="1767"/>
      <c r="BJ180" s="1767"/>
      <c r="BK180" s="1767"/>
      <c r="BL180" s="1767"/>
      <c r="BM180" s="1767"/>
      <c r="BN180" s="1767"/>
      <c r="BO180" s="1767"/>
      <c r="BP180" s="1767"/>
      <c r="BQ180" s="1767"/>
      <c r="BR180" s="1767"/>
      <c r="BS180" s="1767"/>
      <c r="BT180" s="1767"/>
      <c r="BU180" s="1767"/>
      <c r="BV180" s="1767"/>
      <c r="BW180" s="1767"/>
      <c r="BX180" s="1767"/>
      <c r="BY180" s="1767"/>
      <c r="BZ180" s="1767"/>
      <c r="CA180" s="1767"/>
      <c r="CB180" s="1767"/>
      <c r="CC180" s="1767"/>
      <c r="CD180" s="1767"/>
      <c r="CE180" s="1767"/>
      <c r="CF180" s="1767"/>
    </row>
    <row r="181" spans="1:84" ht="11.25" customHeight="1">
      <c r="A181" s="1726"/>
      <c r="B181" s="1083"/>
      <c r="C181" s="348"/>
      <c r="D181" s="2609"/>
      <c r="E181" s="2600"/>
      <c r="F181" s="2365" t="s">
        <v>93</v>
      </c>
      <c r="G181" s="2602"/>
      <c r="H181" s="2371"/>
      <c r="I181" s="2604" t="s">
        <v>649</v>
      </c>
      <c r="J181" s="2605" t="s">
        <v>591</v>
      </c>
      <c r="K181" s="2606" t="s">
        <v>757</v>
      </c>
      <c r="L181" s="576"/>
      <c r="M181" s="577" t="s">
        <v>100</v>
      </c>
      <c r="N181" s="1715" t="s">
        <v>758</v>
      </c>
      <c r="O181" s="578">
        <f>Q181</f>
        <v>3763.22</v>
      </c>
      <c r="P181" s="579" t="s">
        <v>569</v>
      </c>
      <c r="Q181" s="578">
        <v>3763.22</v>
      </c>
      <c r="R181" s="580">
        <v>0</v>
      </c>
      <c r="S181" s="2439"/>
      <c r="T181" s="653"/>
      <c r="U181" s="2609"/>
      <c r="V181" s="2609"/>
      <c r="W181" s="1767"/>
      <c r="X181" s="1767"/>
      <c r="Y181" s="1767"/>
      <c r="Z181" s="1767"/>
      <c r="AA181" s="1767"/>
      <c r="AB181" s="1767"/>
      <c r="AC181" s="2609"/>
      <c r="AD181" s="1767"/>
      <c r="AE181" s="1767"/>
      <c r="AF181" s="1767"/>
      <c r="AG181" s="1767"/>
      <c r="AH181" s="1767"/>
      <c r="AI181" s="1767"/>
      <c r="AJ181" s="1767"/>
      <c r="AK181" s="1767"/>
      <c r="AL181" s="1767"/>
      <c r="AM181" s="1767"/>
      <c r="AN181" s="1767"/>
      <c r="AO181" s="1767"/>
      <c r="AP181" s="1767"/>
      <c r="AQ181" s="1767"/>
      <c r="AR181" s="1767"/>
      <c r="AS181" s="1767"/>
      <c r="AT181" s="1767"/>
      <c r="AU181" s="1767"/>
      <c r="AV181" s="1767"/>
      <c r="AW181" s="1767"/>
      <c r="AX181" s="1767"/>
      <c r="AY181" s="1767"/>
      <c r="AZ181" s="1767"/>
      <c r="BA181" s="1767"/>
      <c r="BB181" s="1767"/>
      <c r="BC181" s="1767"/>
      <c r="BD181" s="1767"/>
      <c r="BE181" s="1767"/>
      <c r="BF181" s="1767"/>
      <c r="BG181" s="1767"/>
      <c r="BH181" s="1767"/>
      <c r="BI181" s="1767"/>
      <c r="BJ181" s="1767"/>
      <c r="BK181" s="1767"/>
      <c r="BL181" s="1767"/>
      <c r="BM181" s="1767"/>
      <c r="BN181" s="1767"/>
      <c r="BO181" s="1767"/>
      <c r="BP181" s="1767"/>
      <c r="BQ181" s="1767"/>
      <c r="BR181" s="1767"/>
      <c r="BS181" s="1767"/>
      <c r="BT181" s="1767"/>
      <c r="BU181" s="1767"/>
      <c r="BV181" s="1767"/>
      <c r="BW181" s="1767"/>
      <c r="BX181" s="1767"/>
      <c r="BY181" s="1767"/>
      <c r="BZ181" s="1767"/>
      <c r="CA181" s="1767"/>
      <c r="CB181" s="1767"/>
      <c r="CC181" s="1767"/>
      <c r="CD181" s="1767"/>
      <c r="CE181" s="1767"/>
      <c r="CF181" s="1767"/>
    </row>
    <row r="182" spans="1:84" ht="11.25" customHeight="1">
      <c r="A182" s="1726"/>
      <c r="B182" s="1083"/>
      <c r="C182" s="348"/>
      <c r="D182" s="2609"/>
      <c r="E182" s="2600"/>
      <c r="F182" s="2365" t="s">
        <v>93</v>
      </c>
      <c r="G182" s="2602"/>
      <c r="H182" s="2371"/>
      <c r="I182" s="2604"/>
      <c r="J182" s="2605"/>
      <c r="K182" s="2607"/>
      <c r="L182" s="581"/>
      <c r="M182" s="582"/>
      <c r="N182" s="583" t="s">
        <v>652</v>
      </c>
      <c r="O182" s="583"/>
      <c r="P182" s="583"/>
      <c r="Q182" s="583"/>
      <c r="R182" s="584"/>
      <c r="S182" s="2439"/>
      <c r="T182" s="653"/>
      <c r="U182" s="2609"/>
      <c r="V182" s="2609"/>
      <c r="W182" s="1767"/>
      <c r="X182" s="1767"/>
      <c r="Y182" s="1767"/>
      <c r="Z182" s="1767"/>
      <c r="AA182" s="1767"/>
      <c r="AB182" s="1767"/>
      <c r="AC182" s="2609"/>
      <c r="AD182" s="1767"/>
      <c r="AE182" s="1767"/>
      <c r="AF182" s="1767"/>
      <c r="AG182" s="1767"/>
      <c r="AH182" s="1767"/>
      <c r="AI182" s="1767"/>
      <c r="AJ182" s="1767"/>
      <c r="AK182" s="1767"/>
      <c r="AL182" s="1767"/>
      <c r="AM182" s="1767"/>
      <c r="AN182" s="1767"/>
      <c r="AO182" s="1767"/>
      <c r="AP182" s="1767"/>
      <c r="AQ182" s="1767"/>
      <c r="AR182" s="1767"/>
      <c r="AS182" s="1767"/>
      <c r="AT182" s="1767"/>
      <c r="AU182" s="1767"/>
      <c r="AV182" s="1767"/>
      <c r="AW182" s="1767"/>
      <c r="AX182" s="1767"/>
      <c r="AY182" s="1767"/>
      <c r="AZ182" s="1767"/>
      <c r="BA182" s="1767"/>
      <c r="BB182" s="1767"/>
      <c r="BC182" s="1767"/>
      <c r="BD182" s="1767"/>
      <c r="BE182" s="1767"/>
      <c r="BF182" s="1767"/>
      <c r="BG182" s="1767"/>
      <c r="BH182" s="1767"/>
      <c r="BI182" s="1767"/>
      <c r="BJ182" s="1767"/>
      <c r="BK182" s="1767"/>
      <c r="BL182" s="1767"/>
      <c r="BM182" s="1767"/>
      <c r="BN182" s="1767"/>
      <c r="BO182" s="1767"/>
      <c r="BP182" s="1767"/>
      <c r="BQ182" s="1767"/>
      <c r="BR182" s="1767"/>
      <c r="BS182" s="1767"/>
      <c r="BT182" s="1767"/>
      <c r="BU182" s="1767"/>
      <c r="BV182" s="1767"/>
      <c r="BW182" s="1767"/>
      <c r="BX182" s="1767"/>
      <c r="BY182" s="1767"/>
      <c r="BZ182" s="1767"/>
      <c r="CA182" s="1767"/>
      <c r="CB182" s="1767"/>
      <c r="CC182" s="1767"/>
      <c r="CD182" s="1767"/>
      <c r="CE182" s="1767"/>
      <c r="CF182" s="1767"/>
    </row>
    <row r="183" spans="1:84" ht="11.25" customHeight="1">
      <c r="A183" s="1726"/>
      <c r="B183" s="1083"/>
      <c r="C183" s="348"/>
      <c r="D183" s="2609"/>
      <c r="E183" s="2601"/>
      <c r="F183" s="2365" t="s">
        <v>93</v>
      </c>
      <c r="G183" s="2603"/>
      <c r="H183" s="581" t="s">
        <v>22</v>
      </c>
      <c r="I183" s="582"/>
      <c r="J183" s="583" t="s">
        <v>656</v>
      </c>
      <c r="K183" s="583"/>
      <c r="L183" s="583"/>
      <c r="M183" s="583"/>
      <c r="N183" s="583"/>
      <c r="O183" s="583"/>
      <c r="P183" s="583"/>
      <c r="Q183" s="583"/>
      <c r="R183" s="584"/>
      <c r="S183" s="2439"/>
      <c r="T183" s="653"/>
      <c r="U183" s="2609"/>
      <c r="V183" s="2609"/>
      <c r="W183" s="1767"/>
      <c r="X183" s="1767"/>
      <c r="Y183" s="1767"/>
      <c r="Z183" s="1767"/>
      <c r="AA183" s="1767"/>
      <c r="AB183" s="1767"/>
      <c r="AC183" s="2609"/>
      <c r="AD183" s="1767"/>
      <c r="AE183" s="1767"/>
      <c r="AF183" s="1767"/>
      <c r="AG183" s="1767"/>
      <c r="AH183" s="1767"/>
      <c r="AI183" s="1767"/>
      <c r="AJ183" s="1767"/>
      <c r="AK183" s="1767"/>
      <c r="AL183" s="1767"/>
      <c r="AM183" s="1767"/>
      <c r="AN183" s="1767"/>
      <c r="AO183" s="1767"/>
      <c r="AP183" s="1767"/>
      <c r="AQ183" s="1767"/>
      <c r="AR183" s="1767"/>
      <c r="AS183" s="1767"/>
      <c r="AT183" s="1767"/>
      <c r="AU183" s="1767"/>
      <c r="AV183" s="1767"/>
      <c r="AW183" s="1767"/>
      <c r="AX183" s="1767"/>
      <c r="AY183" s="1767"/>
      <c r="AZ183" s="1767"/>
      <c r="BA183" s="1767"/>
      <c r="BB183" s="1767"/>
      <c r="BC183" s="1767"/>
      <c r="BD183" s="1767"/>
      <c r="BE183" s="1767"/>
      <c r="BF183" s="1767"/>
      <c r="BG183" s="1767"/>
      <c r="BH183" s="1767"/>
      <c r="BI183" s="1767"/>
      <c r="BJ183" s="1767"/>
      <c r="BK183" s="1767"/>
      <c r="BL183" s="1767"/>
      <c r="BM183" s="1767"/>
      <c r="BN183" s="1767"/>
      <c r="BO183" s="1767"/>
      <c r="BP183" s="1767"/>
      <c r="BQ183" s="1767"/>
      <c r="BR183" s="1767"/>
      <c r="BS183" s="1767"/>
      <c r="BT183" s="1767"/>
      <c r="BU183" s="1767"/>
      <c r="BV183" s="1767"/>
      <c r="BW183" s="1767"/>
      <c r="BX183" s="1767"/>
      <c r="BY183" s="1767"/>
      <c r="BZ183" s="1767"/>
      <c r="CA183" s="1767"/>
      <c r="CB183" s="1767"/>
      <c r="CC183" s="1767"/>
      <c r="CD183" s="1767"/>
      <c r="CE183" s="1767"/>
      <c r="CF183" s="1767"/>
    </row>
    <row r="184" spans="1:84" ht="45" customHeight="1">
      <c r="A184" s="1726"/>
      <c r="B184" s="1083"/>
      <c r="C184" s="348"/>
      <c r="D184" s="2609"/>
      <c r="E184" s="2599" t="s">
        <v>104</v>
      </c>
      <c r="F184" s="2365" t="s">
        <v>124</v>
      </c>
      <c r="G184" s="2602" t="s">
        <v>759</v>
      </c>
      <c r="H184" s="226"/>
      <c r="I184" s="573" t="s">
        <v>100</v>
      </c>
      <c r="J184" s="1727" t="s">
        <v>648</v>
      </c>
      <c r="K184" s="574" t="s">
        <v>563</v>
      </c>
      <c r="L184" s="2479" t="s">
        <v>563</v>
      </c>
      <c r="M184" s="2415"/>
      <c r="N184" s="574" t="s">
        <v>563</v>
      </c>
      <c r="O184" s="574" t="s">
        <v>563</v>
      </c>
      <c r="P184" s="574" t="s">
        <v>563</v>
      </c>
      <c r="Q184" s="575">
        <f>SUM(Q185:Q187)</f>
        <v>2473.9</v>
      </c>
      <c r="R184" s="575">
        <f>IF('Показатели ФХД'!N89=0,0,($Q$184/'Показатели ФХД'!N89)*100)</f>
        <v>1.7799796777414185</v>
      </c>
      <c r="S184" s="2439"/>
      <c r="T184" s="653" t="s">
        <v>646</v>
      </c>
      <c r="U184" s="2609"/>
      <c r="V184" s="2609"/>
      <c r="W184" s="1767"/>
      <c r="X184" s="1767"/>
      <c r="Y184" s="1767"/>
      <c r="Z184" s="1767"/>
      <c r="AA184" s="1767"/>
      <c r="AB184" s="1767"/>
      <c r="AC184" s="2609"/>
      <c r="AD184" s="1767"/>
      <c r="AE184" s="1767"/>
      <c r="AF184" s="1767"/>
      <c r="AG184" s="1767"/>
      <c r="AH184" s="1767"/>
      <c r="AI184" s="1767"/>
      <c r="AJ184" s="1767"/>
      <c r="AK184" s="1767"/>
      <c r="AL184" s="1767"/>
      <c r="AM184" s="1767"/>
      <c r="AN184" s="1767"/>
      <c r="AO184" s="1767"/>
      <c r="AP184" s="1767"/>
      <c r="AQ184" s="1767"/>
      <c r="AR184" s="1767"/>
      <c r="AS184" s="1767"/>
      <c r="AT184" s="1767"/>
      <c r="AU184" s="1767"/>
      <c r="AV184" s="1767"/>
      <c r="AW184" s="1767"/>
      <c r="AX184" s="1767"/>
      <c r="AY184" s="1767"/>
      <c r="AZ184" s="1767"/>
      <c r="BA184" s="1767"/>
      <c r="BB184" s="1767"/>
      <c r="BC184" s="1767"/>
      <c r="BD184" s="1767"/>
      <c r="BE184" s="1767"/>
      <c r="BF184" s="1767"/>
      <c r="BG184" s="1767"/>
      <c r="BH184" s="1767"/>
      <c r="BI184" s="1767"/>
      <c r="BJ184" s="1767"/>
      <c r="BK184" s="1767"/>
      <c r="BL184" s="1767"/>
      <c r="BM184" s="1767"/>
      <c r="BN184" s="1767"/>
      <c r="BO184" s="1767"/>
      <c r="BP184" s="1767"/>
      <c r="BQ184" s="1767"/>
      <c r="BR184" s="1767"/>
      <c r="BS184" s="1767"/>
      <c r="BT184" s="1767"/>
      <c r="BU184" s="1767"/>
      <c r="BV184" s="1767"/>
      <c r="BW184" s="1767"/>
      <c r="BX184" s="1767"/>
      <c r="BY184" s="1767"/>
      <c r="BZ184" s="1767"/>
      <c r="CA184" s="1767"/>
      <c r="CB184" s="1767"/>
      <c r="CC184" s="1767"/>
      <c r="CD184" s="1767"/>
      <c r="CE184" s="1767"/>
      <c r="CF184" s="1767"/>
    </row>
    <row r="185" spans="1:84" ht="11.25" customHeight="1">
      <c r="A185" s="1726"/>
      <c r="B185" s="1083"/>
      <c r="C185" s="348"/>
      <c r="D185" s="2609"/>
      <c r="E185" s="2600"/>
      <c r="F185" s="2365" t="s">
        <v>94</v>
      </c>
      <c r="G185" s="2602"/>
      <c r="H185" s="2371"/>
      <c r="I185" s="2604" t="s">
        <v>649</v>
      </c>
      <c r="J185" s="2605" t="s">
        <v>591</v>
      </c>
      <c r="K185" s="2606" t="s">
        <v>760</v>
      </c>
      <c r="L185" s="576"/>
      <c r="M185" s="577" t="s">
        <v>100</v>
      </c>
      <c r="N185" s="1715" t="s">
        <v>733</v>
      </c>
      <c r="O185" s="578">
        <f>Q185</f>
        <v>2473.9</v>
      </c>
      <c r="P185" s="579" t="s">
        <v>569</v>
      </c>
      <c r="Q185" s="578">
        <v>2473.9</v>
      </c>
      <c r="R185" s="580">
        <v>0</v>
      </c>
      <c r="S185" s="2439"/>
      <c r="T185" s="653"/>
      <c r="U185" s="2609"/>
      <c r="V185" s="2609"/>
      <c r="W185" s="1767"/>
      <c r="X185" s="1767"/>
      <c r="Y185" s="1767"/>
      <c r="Z185" s="1767"/>
      <c r="AA185" s="1767"/>
      <c r="AB185" s="1767"/>
      <c r="AC185" s="2609"/>
      <c r="AD185" s="1767"/>
      <c r="AE185" s="1767"/>
      <c r="AF185" s="1767"/>
      <c r="AG185" s="1767"/>
      <c r="AH185" s="1767"/>
      <c r="AI185" s="1767"/>
      <c r="AJ185" s="1767"/>
      <c r="AK185" s="1767"/>
      <c r="AL185" s="1767"/>
      <c r="AM185" s="1767"/>
      <c r="AN185" s="1767"/>
      <c r="AO185" s="1767"/>
      <c r="AP185" s="1767"/>
      <c r="AQ185" s="1767"/>
      <c r="AR185" s="1767"/>
      <c r="AS185" s="1767"/>
      <c r="AT185" s="1767"/>
      <c r="AU185" s="1767"/>
      <c r="AV185" s="1767"/>
      <c r="AW185" s="1767"/>
      <c r="AX185" s="1767"/>
      <c r="AY185" s="1767"/>
      <c r="AZ185" s="1767"/>
      <c r="BA185" s="1767"/>
      <c r="BB185" s="1767"/>
      <c r="BC185" s="1767"/>
      <c r="BD185" s="1767"/>
      <c r="BE185" s="1767"/>
      <c r="BF185" s="1767"/>
      <c r="BG185" s="1767"/>
      <c r="BH185" s="1767"/>
      <c r="BI185" s="1767"/>
      <c r="BJ185" s="1767"/>
      <c r="BK185" s="1767"/>
      <c r="BL185" s="1767"/>
      <c r="BM185" s="1767"/>
      <c r="BN185" s="1767"/>
      <c r="BO185" s="1767"/>
      <c r="BP185" s="1767"/>
      <c r="BQ185" s="1767"/>
      <c r="BR185" s="1767"/>
      <c r="BS185" s="1767"/>
      <c r="BT185" s="1767"/>
      <c r="BU185" s="1767"/>
      <c r="BV185" s="1767"/>
      <c r="BW185" s="1767"/>
      <c r="BX185" s="1767"/>
      <c r="BY185" s="1767"/>
      <c r="BZ185" s="1767"/>
      <c r="CA185" s="1767"/>
      <c r="CB185" s="1767"/>
      <c r="CC185" s="1767"/>
      <c r="CD185" s="1767"/>
      <c r="CE185" s="1767"/>
      <c r="CF185" s="1767"/>
    </row>
    <row r="186" spans="1:84" ht="11.25" customHeight="1">
      <c r="A186" s="1726"/>
      <c r="B186" s="1083"/>
      <c r="C186" s="348"/>
      <c r="D186" s="2609"/>
      <c r="E186" s="2600"/>
      <c r="F186" s="2365" t="s">
        <v>94</v>
      </c>
      <c r="G186" s="2602"/>
      <c r="H186" s="2371"/>
      <c r="I186" s="2604"/>
      <c r="J186" s="2605"/>
      <c r="K186" s="2607"/>
      <c r="L186" s="581"/>
      <c r="M186" s="582"/>
      <c r="N186" s="583" t="s">
        <v>652</v>
      </c>
      <c r="O186" s="583"/>
      <c r="P186" s="583"/>
      <c r="Q186" s="583"/>
      <c r="R186" s="584"/>
      <c r="S186" s="2439"/>
      <c r="T186" s="653"/>
      <c r="U186" s="2609"/>
      <c r="V186" s="2609"/>
      <c r="W186" s="1767"/>
      <c r="X186" s="1767"/>
      <c r="Y186" s="1767"/>
      <c r="Z186" s="1767"/>
      <c r="AA186" s="1767"/>
      <c r="AB186" s="1767"/>
      <c r="AC186" s="2609"/>
      <c r="AD186" s="1767"/>
      <c r="AE186" s="1767"/>
      <c r="AF186" s="1767"/>
      <c r="AG186" s="1767"/>
      <c r="AH186" s="1767"/>
      <c r="AI186" s="1767"/>
      <c r="AJ186" s="1767"/>
      <c r="AK186" s="1767"/>
      <c r="AL186" s="1767"/>
      <c r="AM186" s="1767"/>
      <c r="AN186" s="1767"/>
      <c r="AO186" s="1767"/>
      <c r="AP186" s="1767"/>
      <c r="AQ186" s="1767"/>
      <c r="AR186" s="1767"/>
      <c r="AS186" s="1767"/>
      <c r="AT186" s="1767"/>
      <c r="AU186" s="1767"/>
      <c r="AV186" s="1767"/>
      <c r="AW186" s="1767"/>
      <c r="AX186" s="1767"/>
      <c r="AY186" s="1767"/>
      <c r="AZ186" s="1767"/>
      <c r="BA186" s="1767"/>
      <c r="BB186" s="1767"/>
      <c r="BC186" s="1767"/>
      <c r="BD186" s="1767"/>
      <c r="BE186" s="1767"/>
      <c r="BF186" s="1767"/>
      <c r="BG186" s="1767"/>
      <c r="BH186" s="1767"/>
      <c r="BI186" s="1767"/>
      <c r="BJ186" s="1767"/>
      <c r="BK186" s="1767"/>
      <c r="BL186" s="1767"/>
      <c r="BM186" s="1767"/>
      <c r="BN186" s="1767"/>
      <c r="BO186" s="1767"/>
      <c r="BP186" s="1767"/>
      <c r="BQ186" s="1767"/>
      <c r="BR186" s="1767"/>
      <c r="BS186" s="1767"/>
      <c r="BT186" s="1767"/>
      <c r="BU186" s="1767"/>
      <c r="BV186" s="1767"/>
      <c r="BW186" s="1767"/>
      <c r="BX186" s="1767"/>
      <c r="BY186" s="1767"/>
      <c r="BZ186" s="1767"/>
      <c r="CA186" s="1767"/>
      <c r="CB186" s="1767"/>
      <c r="CC186" s="1767"/>
      <c r="CD186" s="1767"/>
      <c r="CE186" s="1767"/>
      <c r="CF186" s="1767"/>
    </row>
    <row r="187" spans="1:84" ht="11.25" customHeight="1">
      <c r="A187" s="1726"/>
      <c r="B187" s="1083"/>
      <c r="C187" s="348"/>
      <c r="D187" s="2609"/>
      <c r="E187" s="2601"/>
      <c r="F187" s="2365" t="s">
        <v>94</v>
      </c>
      <c r="G187" s="2603"/>
      <c r="H187" s="581" t="s">
        <v>22</v>
      </c>
      <c r="I187" s="582"/>
      <c r="J187" s="583" t="s">
        <v>656</v>
      </c>
      <c r="K187" s="583"/>
      <c r="L187" s="583"/>
      <c r="M187" s="583"/>
      <c r="N187" s="583"/>
      <c r="O187" s="583"/>
      <c r="P187" s="583"/>
      <c r="Q187" s="583"/>
      <c r="R187" s="584"/>
      <c r="S187" s="2439"/>
      <c r="T187" s="653"/>
      <c r="U187" s="2609"/>
      <c r="V187" s="2609"/>
      <c r="W187" s="1767"/>
      <c r="X187" s="1767"/>
      <c r="Y187" s="1767"/>
      <c r="Z187" s="1767"/>
      <c r="AA187" s="1767"/>
      <c r="AB187" s="1767"/>
      <c r="AC187" s="2609"/>
      <c r="AD187" s="1767"/>
      <c r="AE187" s="1767"/>
      <c r="AF187" s="1767"/>
      <c r="AG187" s="1767"/>
      <c r="AH187" s="1767"/>
      <c r="AI187" s="1767"/>
      <c r="AJ187" s="1767"/>
      <c r="AK187" s="1767"/>
      <c r="AL187" s="1767"/>
      <c r="AM187" s="1767"/>
      <c r="AN187" s="1767"/>
      <c r="AO187" s="1767"/>
      <c r="AP187" s="1767"/>
      <c r="AQ187" s="1767"/>
      <c r="AR187" s="1767"/>
      <c r="AS187" s="1767"/>
      <c r="AT187" s="1767"/>
      <c r="AU187" s="1767"/>
      <c r="AV187" s="1767"/>
      <c r="AW187" s="1767"/>
      <c r="AX187" s="1767"/>
      <c r="AY187" s="1767"/>
      <c r="AZ187" s="1767"/>
      <c r="BA187" s="1767"/>
      <c r="BB187" s="1767"/>
      <c r="BC187" s="1767"/>
      <c r="BD187" s="1767"/>
      <c r="BE187" s="1767"/>
      <c r="BF187" s="1767"/>
      <c r="BG187" s="1767"/>
      <c r="BH187" s="1767"/>
      <c r="BI187" s="1767"/>
      <c r="BJ187" s="1767"/>
      <c r="BK187" s="1767"/>
      <c r="BL187" s="1767"/>
      <c r="BM187" s="1767"/>
      <c r="BN187" s="1767"/>
      <c r="BO187" s="1767"/>
      <c r="BP187" s="1767"/>
      <c r="BQ187" s="1767"/>
      <c r="BR187" s="1767"/>
      <c r="BS187" s="1767"/>
      <c r="BT187" s="1767"/>
      <c r="BU187" s="1767"/>
      <c r="BV187" s="1767"/>
      <c r="BW187" s="1767"/>
      <c r="BX187" s="1767"/>
      <c r="BY187" s="1767"/>
      <c r="BZ187" s="1767"/>
      <c r="CA187" s="1767"/>
      <c r="CB187" s="1767"/>
      <c r="CC187" s="1767"/>
      <c r="CD187" s="1767"/>
      <c r="CE187" s="1767"/>
      <c r="CF187" s="1767"/>
    </row>
    <row r="188" spans="1:84" ht="11.25" customHeight="1">
      <c r="A188" s="1726"/>
      <c r="B188" s="1083"/>
      <c r="C188" s="348"/>
      <c r="D188" s="2611"/>
      <c r="E188" s="585" t="s">
        <v>22</v>
      </c>
      <c r="F188" s="1091" t="s">
        <v>22</v>
      </c>
      <c r="G188" s="1091" t="s">
        <v>681</v>
      </c>
      <c r="H188" s="587" t="s">
        <v>22</v>
      </c>
      <c r="I188" s="587"/>
      <c r="J188" s="587"/>
      <c r="K188" s="587"/>
      <c r="L188" s="587"/>
      <c r="M188" s="587"/>
      <c r="N188" s="587"/>
      <c r="O188" s="587"/>
      <c r="P188" s="587"/>
      <c r="Q188" s="587"/>
      <c r="R188" s="588"/>
      <c r="S188" s="589"/>
      <c r="T188" s="654"/>
      <c r="U188" s="2505"/>
      <c r="V188" s="2505"/>
      <c r="W188" s="1083"/>
      <c r="X188" s="1083"/>
      <c r="Y188" s="1083"/>
      <c r="Z188" s="1083"/>
      <c r="AA188" s="1559"/>
      <c r="AB188" s="1083"/>
      <c r="AC188" s="2617"/>
      <c r="AD188" s="565"/>
      <c r="AE188" s="1083"/>
      <c r="AF188" s="1083"/>
      <c r="AG188" s="1559"/>
      <c r="AH188" s="1559"/>
      <c r="AI188" s="1559"/>
      <c r="AJ188" s="1559"/>
      <c r="AK188" s="1559"/>
      <c r="AL188" s="1559"/>
      <c r="AM188" s="1559"/>
      <c r="AN188" s="1559"/>
      <c r="AO188" s="1559"/>
      <c r="AP188" s="1559"/>
      <c r="AQ188" s="1559"/>
      <c r="AR188" s="1559"/>
      <c r="AS188" s="1559"/>
      <c r="AT188" s="1559"/>
      <c r="AU188" s="1559"/>
      <c r="AV188" s="1559"/>
      <c r="AW188" s="1559"/>
      <c r="AX188" s="1559"/>
      <c r="AY188" s="1559"/>
      <c r="AZ188" s="1559"/>
      <c r="BA188" s="1559"/>
      <c r="BB188" s="1559"/>
      <c r="BC188" s="1559"/>
      <c r="BD188" s="1559"/>
      <c r="BE188" s="1559"/>
      <c r="BF188" s="1559"/>
      <c r="BG188" s="1559"/>
      <c r="BH188" s="1559"/>
      <c r="BI188" s="1559"/>
      <c r="BJ188" s="1559"/>
      <c r="BK188" s="1559"/>
      <c r="BL188" s="1559"/>
      <c r="BM188" s="1559"/>
      <c r="BN188" s="1559"/>
      <c r="BO188" s="1559"/>
      <c r="BP188" s="1559"/>
      <c r="BQ188" s="1559"/>
      <c r="BR188" s="1559"/>
      <c r="BS188" s="1559"/>
      <c r="BT188" s="1559"/>
      <c r="BU188" s="1559"/>
      <c r="BV188" s="1083"/>
      <c r="BW188" s="1083"/>
      <c r="BX188" s="1083"/>
      <c r="BY188" s="1083"/>
      <c r="BZ188" s="1083"/>
      <c r="CA188" s="1083"/>
      <c r="CB188" s="1083"/>
      <c r="CC188" s="1083"/>
      <c r="CD188" s="1083"/>
      <c r="CE188" s="1083"/>
      <c r="CF188" s="1767"/>
    </row>
    <row r="189" spans="1:84" ht="5.25" hidden="1" customHeight="1">
      <c r="A189" s="1713"/>
      <c r="B189" s="1559"/>
      <c r="C189" s="1559"/>
      <c r="D189" s="2611"/>
      <c r="E189" s="966"/>
      <c r="F189" s="966"/>
      <c r="G189" s="966"/>
      <c r="H189" s="966"/>
      <c r="I189" s="966"/>
      <c r="J189" s="966"/>
      <c r="K189" s="966"/>
      <c r="L189" s="966"/>
      <c r="M189" s="966"/>
      <c r="N189" s="966"/>
      <c r="O189" s="966"/>
      <c r="P189" s="966"/>
      <c r="Q189" s="967"/>
      <c r="R189" s="968"/>
      <c r="S189" s="969"/>
      <c r="T189" s="653" t="s">
        <v>646</v>
      </c>
      <c r="U189" s="2505">
        <v>1</v>
      </c>
      <c r="V189" s="2505" t="s">
        <v>600</v>
      </c>
      <c r="W189" s="1559"/>
      <c r="X189" s="1559"/>
      <c r="Y189" s="1559"/>
      <c r="Z189" s="1559"/>
      <c r="AA189" s="1559"/>
      <c r="AB189" s="1559"/>
      <c r="AC189" s="964"/>
      <c r="AD189" s="965"/>
      <c r="AE189" s="1559"/>
      <c r="AF189" s="1559"/>
      <c r="AG189" s="1559"/>
      <c r="AH189" s="1559"/>
      <c r="AI189" s="1559"/>
      <c r="AJ189" s="1559"/>
      <c r="AK189" s="1559"/>
      <c r="AL189" s="1559"/>
      <c r="AM189" s="1559"/>
      <c r="AN189" s="1559"/>
      <c r="AO189" s="1559"/>
      <c r="AP189" s="1559"/>
      <c r="AQ189" s="1559"/>
      <c r="AR189" s="1559"/>
      <c r="AS189" s="1559"/>
      <c r="AT189" s="1559"/>
      <c r="AU189" s="1559"/>
      <c r="AV189" s="1559"/>
      <c r="AW189" s="1559"/>
      <c r="AX189" s="1559"/>
      <c r="AY189" s="1559"/>
      <c r="AZ189" s="1559"/>
      <c r="BA189" s="1559"/>
      <c r="BB189" s="1559"/>
      <c r="BC189" s="1559"/>
      <c r="BD189" s="1559"/>
      <c r="BE189" s="1559"/>
      <c r="BF189" s="1559"/>
      <c r="BG189" s="1559"/>
      <c r="BH189" s="1559"/>
      <c r="BI189" s="1559"/>
      <c r="BJ189" s="1559"/>
      <c r="BK189" s="1559"/>
      <c r="BL189" s="1559"/>
      <c r="BM189" s="1559"/>
      <c r="BN189" s="1559"/>
      <c r="BO189" s="1559"/>
      <c r="BP189" s="1559"/>
      <c r="BQ189" s="1559"/>
      <c r="BR189" s="1559"/>
      <c r="BS189" s="1559"/>
      <c r="BT189" s="1559"/>
      <c r="BU189" s="1559"/>
      <c r="BV189" s="1559"/>
      <c r="BW189" s="1559"/>
      <c r="BX189" s="1559"/>
      <c r="BY189" s="1559"/>
      <c r="BZ189" s="1559"/>
      <c r="CA189" s="1559"/>
      <c r="CB189" s="1559"/>
      <c r="CC189" s="1559"/>
      <c r="CD189" s="1559"/>
      <c r="CE189" s="1559"/>
      <c r="CF189" s="1239"/>
    </row>
    <row r="190" spans="1:84" ht="5.25" hidden="1" customHeight="1">
      <c r="A190" s="1713"/>
      <c r="B190" s="1559"/>
      <c r="C190" s="1559"/>
      <c r="D190" s="2611"/>
      <c r="E190" s="571"/>
      <c r="F190" s="571"/>
      <c r="G190" s="571"/>
      <c r="H190" s="571"/>
      <c r="I190" s="571"/>
      <c r="J190" s="571"/>
      <c r="K190" s="571"/>
      <c r="L190" s="571"/>
      <c r="M190" s="571"/>
      <c r="N190" s="571"/>
      <c r="O190" s="571"/>
      <c r="P190" s="571"/>
      <c r="Q190" s="571"/>
      <c r="R190" s="571"/>
      <c r="S190" s="572"/>
      <c r="T190" s="654"/>
      <c r="U190" s="2505"/>
      <c r="V190" s="2505"/>
      <c r="W190" s="1559"/>
      <c r="X190" s="1559"/>
      <c r="Y190" s="1559"/>
      <c r="Z190" s="1559"/>
      <c r="AA190" s="1559"/>
      <c r="AB190" s="1559"/>
      <c r="AC190" s="964"/>
      <c r="AD190" s="965"/>
      <c r="AE190" s="1559"/>
      <c r="AF190" s="1559"/>
      <c r="AG190" s="1559"/>
      <c r="AH190" s="1559"/>
      <c r="AI190" s="1559"/>
      <c r="AJ190" s="1559"/>
      <c r="AK190" s="1559"/>
      <c r="AL190" s="1559"/>
      <c r="AM190" s="1559"/>
      <c r="AN190" s="1559"/>
      <c r="AO190" s="1559"/>
      <c r="AP190" s="1559"/>
      <c r="AQ190" s="1559"/>
      <c r="AR190" s="1559"/>
      <c r="AS190" s="1559"/>
      <c r="AT190" s="1559"/>
      <c r="AU190" s="1559"/>
      <c r="AV190" s="1559"/>
      <c r="AW190" s="1559"/>
      <c r="AX190" s="1559"/>
      <c r="AY190" s="1559"/>
      <c r="AZ190" s="1559"/>
      <c r="BA190" s="1559"/>
      <c r="BB190" s="1559"/>
      <c r="BC190" s="1559"/>
      <c r="BD190" s="1559"/>
      <c r="BE190" s="1559"/>
      <c r="BF190" s="1559"/>
      <c r="BG190" s="1559"/>
      <c r="BH190" s="1559"/>
      <c r="BI190" s="1559"/>
      <c r="BJ190" s="1559"/>
      <c r="BK190" s="1559"/>
      <c r="BL190" s="1559"/>
      <c r="BM190" s="1559"/>
      <c r="BN190" s="1559"/>
      <c r="BO190" s="1559"/>
      <c r="BP190" s="1559"/>
      <c r="BQ190" s="1559"/>
      <c r="BR190" s="1559"/>
      <c r="BS190" s="1559"/>
      <c r="BT190" s="1559"/>
      <c r="BU190" s="1559"/>
      <c r="BV190" s="1559"/>
      <c r="BW190" s="1559"/>
      <c r="BX190" s="1559"/>
      <c r="BY190" s="1559"/>
      <c r="BZ190" s="1559"/>
      <c r="CA190" s="1559"/>
      <c r="CB190" s="1559"/>
      <c r="CC190" s="1559"/>
      <c r="CD190" s="1559"/>
      <c r="CE190" s="1559"/>
      <c r="CF190" s="1239"/>
    </row>
    <row r="191" spans="1:84" ht="5.25" hidden="1" customHeight="1">
      <c r="A191" s="1713"/>
      <c r="B191" s="1559"/>
      <c r="C191" s="1559"/>
      <c r="D191" s="2612"/>
      <c r="E191" s="970"/>
      <c r="F191" s="971"/>
      <c r="G191" s="971" t="s">
        <v>22</v>
      </c>
      <c r="H191" s="972"/>
      <c r="I191" s="972"/>
      <c r="J191" s="972"/>
      <c r="K191" s="972"/>
      <c r="L191" s="972"/>
      <c r="M191" s="972"/>
      <c r="N191" s="972"/>
      <c r="O191" s="972"/>
      <c r="P191" s="972"/>
      <c r="Q191" s="972"/>
      <c r="R191" s="874"/>
      <c r="S191" s="973"/>
      <c r="T191" s="654"/>
      <c r="U191" s="2505"/>
      <c r="V191" s="2505"/>
      <c r="W191" s="1559"/>
      <c r="X191" s="1559"/>
      <c r="Y191" s="1559"/>
      <c r="Z191" s="1559"/>
      <c r="AA191" s="1559"/>
      <c r="AB191" s="1559"/>
      <c r="AC191" s="964"/>
      <c r="AD191" s="965"/>
      <c r="AE191" s="1559"/>
      <c r="AF191" s="1559"/>
      <c r="AG191" s="1559"/>
      <c r="AH191" s="1559"/>
      <c r="AI191" s="1559"/>
      <c r="AJ191" s="1559"/>
      <c r="AK191" s="1559"/>
      <c r="AL191" s="1559"/>
      <c r="AM191" s="1559"/>
      <c r="AN191" s="1559"/>
      <c r="AO191" s="1559"/>
      <c r="AP191" s="1559"/>
      <c r="AQ191" s="1559"/>
      <c r="AR191" s="1559"/>
      <c r="AS191" s="1559"/>
      <c r="AT191" s="1559"/>
      <c r="AU191" s="1559"/>
      <c r="AV191" s="1559"/>
      <c r="AW191" s="1559"/>
      <c r="AX191" s="1559"/>
      <c r="AY191" s="1559"/>
      <c r="AZ191" s="1559"/>
      <c r="BA191" s="1559"/>
      <c r="BB191" s="1559"/>
      <c r="BC191" s="1559"/>
      <c r="BD191" s="1559"/>
      <c r="BE191" s="1559"/>
      <c r="BF191" s="1559"/>
      <c r="BG191" s="1559"/>
      <c r="BH191" s="1559"/>
      <c r="BI191" s="1559"/>
      <c r="BJ191" s="1559"/>
      <c r="BK191" s="1559"/>
      <c r="BL191" s="1559"/>
      <c r="BM191" s="1559"/>
      <c r="BN191" s="1559"/>
      <c r="BO191" s="1559"/>
      <c r="BP191" s="1559"/>
      <c r="BQ191" s="1559"/>
      <c r="BR191" s="1559"/>
      <c r="BS191" s="1559"/>
      <c r="BT191" s="1559"/>
      <c r="BU191" s="1559"/>
      <c r="BV191" s="1559"/>
      <c r="BW191" s="1559"/>
      <c r="BX191" s="1559"/>
      <c r="BY191" s="1559"/>
      <c r="BZ191" s="1559"/>
      <c r="CA191" s="1559"/>
      <c r="CB191" s="1559"/>
      <c r="CC191" s="1559"/>
      <c r="CD191" s="1559"/>
      <c r="CE191" s="1559"/>
      <c r="CF191" s="1239"/>
    </row>
    <row r="192" spans="1:84" ht="19.899999999999999" customHeight="1">
      <c r="D192" s="974"/>
      <c r="E192" s="974"/>
      <c r="F192" s="974"/>
      <c r="G192" s="974"/>
      <c r="H192" s="974"/>
      <c r="I192" s="974"/>
      <c r="J192" s="974"/>
      <c r="K192" s="974"/>
      <c r="L192" s="974"/>
      <c r="M192" s="974"/>
      <c r="N192" s="974"/>
      <c r="O192" s="974"/>
      <c r="P192" s="974"/>
      <c r="Q192" s="974"/>
      <c r="R192" s="974"/>
      <c r="S192" s="974"/>
      <c r="T192" s="271"/>
      <c r="CF192" s="441">
        <v>19</v>
      </c>
    </row>
    <row r="193" spans="1:84" ht="11.45" customHeight="1">
      <c r="D193" s="445"/>
      <c r="CF193" s="441">
        <v>11</v>
      </c>
    </row>
    <row r="194" spans="1:84" ht="11.45" customHeight="1">
      <c r="D194" s="590"/>
      <c r="E194" s="590"/>
      <c r="F194" s="590"/>
      <c r="G194" s="591"/>
      <c r="CF194" s="441">
        <v>11</v>
      </c>
    </row>
    <row r="195" spans="1:84" ht="11.45" customHeight="1">
      <c r="CF195" s="441">
        <v>11</v>
      </c>
    </row>
    <row r="196" spans="1:84" ht="11.45" customHeight="1">
      <c r="D196" s="592"/>
      <c r="E196" s="2619"/>
      <c r="F196" s="2619"/>
      <c r="G196" s="2619"/>
      <c r="H196" s="2619"/>
      <c r="I196" s="2619"/>
      <c r="J196" s="2619"/>
      <c r="K196" s="2619"/>
      <c r="L196" s="2619"/>
      <c r="M196" s="2619"/>
      <c r="N196" s="2619"/>
      <c r="O196" s="2619"/>
      <c r="P196" s="2619"/>
      <c r="Q196" s="2619"/>
      <c r="R196" s="2619"/>
      <c r="CF196" s="441">
        <v>11</v>
      </c>
    </row>
    <row r="197" spans="1:84" ht="11.45" customHeight="1">
      <c r="F197" s="691"/>
      <c r="G197" s="691"/>
      <c r="CF197" s="441">
        <v>11</v>
      </c>
    </row>
    <row r="198" spans="1:84" ht="11.25" hidden="1" customHeight="1">
      <c r="A198" s="546" t="s">
        <v>83</v>
      </c>
      <c r="B198" s="385">
        <v>0</v>
      </c>
      <c r="C198" s="441">
        <v>3</v>
      </c>
      <c r="D198" s="441">
        <v>0</v>
      </c>
      <c r="E198" s="441">
        <v>7</v>
      </c>
      <c r="F198" s="441">
        <v>7</v>
      </c>
      <c r="G198" s="441">
        <v>29</v>
      </c>
      <c r="H198" s="441">
        <v>3</v>
      </c>
      <c r="I198" s="441">
        <v>5</v>
      </c>
      <c r="J198" s="441">
        <v>24</v>
      </c>
      <c r="K198" s="441">
        <v>24</v>
      </c>
      <c r="L198" s="441">
        <v>3</v>
      </c>
      <c r="M198" s="441">
        <v>6</v>
      </c>
      <c r="N198" s="441">
        <v>25</v>
      </c>
      <c r="O198" s="441">
        <v>18</v>
      </c>
      <c r="P198" s="441">
        <v>18</v>
      </c>
      <c r="Q198" s="441">
        <v>18</v>
      </c>
      <c r="R198" s="441">
        <v>18</v>
      </c>
      <c r="S198" s="441">
        <v>93</v>
      </c>
      <c r="T198" s="441">
        <v>10</v>
      </c>
      <c r="U198" s="547">
        <v>10</v>
      </c>
      <c r="V198" s="547">
        <v>11</v>
      </c>
      <c r="W198" s="548">
        <v>10</v>
      </c>
      <c r="X198" s="385">
        <v>10</v>
      </c>
      <c r="Y198" s="385">
        <v>10</v>
      </c>
      <c r="Z198" s="385">
        <v>10</v>
      </c>
      <c r="AA198" s="385">
        <v>10</v>
      </c>
      <c r="AB198" s="441">
        <v>8</v>
      </c>
      <c r="AC198" s="441">
        <v>8</v>
      </c>
      <c r="AD198" s="441">
        <v>8</v>
      </c>
      <c r="AE198" s="441">
        <v>8</v>
      </c>
      <c r="AF198" s="441">
        <v>8</v>
      </c>
      <c r="AG198" s="441">
        <v>8</v>
      </c>
      <c r="AH198" s="441">
        <v>8</v>
      </c>
      <c r="AI198" s="441">
        <v>8</v>
      </c>
      <c r="AJ198" s="441">
        <v>8</v>
      </c>
      <c r="AK198" s="441">
        <v>8</v>
      </c>
      <c r="AL198" s="441">
        <v>8</v>
      </c>
      <c r="AM198" s="441">
        <v>8</v>
      </c>
      <c r="AN198" s="441">
        <v>8</v>
      </c>
      <c r="AO198" s="441">
        <v>8</v>
      </c>
      <c r="AP198" s="441">
        <v>8</v>
      </c>
      <c r="AQ198" s="441">
        <v>8</v>
      </c>
      <c r="AR198" s="441">
        <v>8</v>
      </c>
      <c r="AS198" s="441">
        <v>8</v>
      </c>
      <c r="AT198" s="441">
        <v>8</v>
      </c>
      <c r="AU198" s="441">
        <v>8</v>
      </c>
      <c r="AV198" s="441">
        <v>8</v>
      </c>
      <c r="AW198" s="441">
        <v>8</v>
      </c>
      <c r="AX198" s="441">
        <v>8</v>
      </c>
      <c r="AY198" s="441">
        <v>8</v>
      </c>
      <c r="AZ198" s="441">
        <v>8</v>
      </c>
      <c r="BA198" s="441">
        <v>8</v>
      </c>
      <c r="BB198" s="441">
        <v>8</v>
      </c>
      <c r="BC198" s="441">
        <v>8</v>
      </c>
      <c r="BD198" s="441">
        <v>8</v>
      </c>
      <c r="BE198" s="441">
        <v>8</v>
      </c>
      <c r="BF198" s="441">
        <v>8</v>
      </c>
      <c r="BG198" s="441">
        <v>8</v>
      </c>
      <c r="BH198" s="441">
        <v>8</v>
      </c>
      <c r="BI198" s="441">
        <v>8</v>
      </c>
      <c r="BJ198" s="441">
        <v>8</v>
      </c>
      <c r="BK198" s="441">
        <v>8</v>
      </c>
      <c r="BL198" s="441">
        <v>8</v>
      </c>
      <c r="BM198" s="441">
        <v>8</v>
      </c>
      <c r="BN198" s="441">
        <v>8</v>
      </c>
      <c r="BO198" s="441">
        <v>8</v>
      </c>
      <c r="BP198" s="441">
        <v>8</v>
      </c>
      <c r="BQ198" s="441">
        <v>8</v>
      </c>
      <c r="BR198" s="441">
        <v>8</v>
      </c>
      <c r="BS198" s="441">
        <v>8</v>
      </c>
      <c r="BT198" s="441">
        <v>8</v>
      </c>
      <c r="BU198" s="441">
        <v>8</v>
      </c>
      <c r="BV198" s="441">
        <v>8</v>
      </c>
      <c r="BW198" s="441">
        <v>8</v>
      </c>
      <c r="BX198" s="441">
        <v>8</v>
      </c>
      <c r="BY198" s="441">
        <v>8</v>
      </c>
      <c r="BZ198" s="441">
        <v>8</v>
      </c>
      <c r="CA198" s="441">
        <v>8</v>
      </c>
      <c r="CB198" s="441">
        <v>8</v>
      </c>
      <c r="CC198" s="441">
        <v>8</v>
      </c>
      <c r="CD198" s="441">
        <v>8</v>
      </c>
      <c r="CE198" s="441">
        <v>8</v>
      </c>
      <c r="CF198" s="441">
        <v>11</v>
      </c>
    </row>
  </sheetData>
  <sheetProtection formatColumns="0" formatRows="0" insertRows="0" deleteColumns="0" deleteRows="0" sort="0" autoFilter="0"/>
  <mergeCells count="359">
    <mergeCell ref="E5:K5"/>
    <mergeCell ref="E6:K6"/>
    <mergeCell ref="E9:R9"/>
    <mergeCell ref="S9:S10"/>
    <mergeCell ref="E10:F10"/>
    <mergeCell ref="H10:I10"/>
    <mergeCell ref="L10:M10"/>
    <mergeCell ref="D14:D56"/>
    <mergeCell ref="H14:R14"/>
    <mergeCell ref="H15:R15"/>
    <mergeCell ref="H16:R16"/>
    <mergeCell ref="E19:E24"/>
    <mergeCell ref="F19:F24"/>
    <mergeCell ref="G19:G24"/>
    <mergeCell ref="L19:M19"/>
    <mergeCell ref="S19:S24"/>
    <mergeCell ref="H20:H21"/>
    <mergeCell ref="I20:I21"/>
    <mergeCell ref="J20:J21"/>
    <mergeCell ref="K20:K21"/>
    <mergeCell ref="E25:E28"/>
    <mergeCell ref="F25:F28"/>
    <mergeCell ref="G25:G28"/>
    <mergeCell ref="L25:M25"/>
    <mergeCell ref="E196:R196"/>
    <mergeCell ref="E54:P54"/>
    <mergeCell ref="U54:U56"/>
    <mergeCell ref="V54:V56"/>
    <mergeCell ref="AC14:AC53"/>
    <mergeCell ref="E17:P17"/>
    <mergeCell ref="U17:U53"/>
    <mergeCell ref="V17:V53"/>
    <mergeCell ref="E14:G14"/>
    <mergeCell ref="E15:G15"/>
    <mergeCell ref="E16:G16"/>
    <mergeCell ref="U63:U65"/>
    <mergeCell ref="V63:V65"/>
    <mergeCell ref="U60:U62"/>
    <mergeCell ref="V60:V62"/>
    <mergeCell ref="U100:U102"/>
    <mergeCell ref="V100:V102"/>
    <mergeCell ref="U69:U99"/>
    <mergeCell ref="V69:V99"/>
    <mergeCell ref="U109:U111"/>
    <mergeCell ref="V109:V111"/>
    <mergeCell ref="U106:U108"/>
    <mergeCell ref="V106:V108"/>
    <mergeCell ref="U134:U136"/>
    <mergeCell ref="D57:D65"/>
    <mergeCell ref="E57:G57"/>
    <mergeCell ref="H57:R57"/>
    <mergeCell ref="AC57:AC62"/>
    <mergeCell ref="E58:G58"/>
    <mergeCell ref="H58:R58"/>
    <mergeCell ref="E59:G59"/>
    <mergeCell ref="H59:R59"/>
    <mergeCell ref="E60:P60"/>
    <mergeCell ref="D66:D102"/>
    <mergeCell ref="E66:G66"/>
    <mergeCell ref="H66:R66"/>
    <mergeCell ref="AC66:AC99"/>
    <mergeCell ref="E67:G67"/>
    <mergeCell ref="H67:R67"/>
    <mergeCell ref="E68:G68"/>
    <mergeCell ref="H68:R68"/>
    <mergeCell ref="E69:P69"/>
    <mergeCell ref="E71:E74"/>
    <mergeCell ref="F71:F74"/>
    <mergeCell ref="G71:G74"/>
    <mergeCell ref="L71:M71"/>
    <mergeCell ref="S71:S74"/>
    <mergeCell ref="H72:H73"/>
    <mergeCell ref="I72:I73"/>
    <mergeCell ref="J72:J73"/>
    <mergeCell ref="K72:K73"/>
    <mergeCell ref="E75:E80"/>
    <mergeCell ref="F75:F80"/>
    <mergeCell ref="G75:G80"/>
    <mergeCell ref="L75:M75"/>
    <mergeCell ref="S75:S80"/>
    <mergeCell ref="H76:H77"/>
    <mergeCell ref="D103:D111"/>
    <mergeCell ref="E103:G103"/>
    <mergeCell ref="H103:R103"/>
    <mergeCell ref="AC103:AC108"/>
    <mergeCell ref="E104:G104"/>
    <mergeCell ref="H104:R104"/>
    <mergeCell ref="E105:G105"/>
    <mergeCell ref="H105:R105"/>
    <mergeCell ref="E106:P106"/>
    <mergeCell ref="V134:V136"/>
    <mergeCell ref="U115:U133"/>
    <mergeCell ref="V115:V133"/>
    <mergeCell ref="D112:D136"/>
    <mergeCell ref="E112:G112"/>
    <mergeCell ref="H112:R112"/>
    <mergeCell ref="AC112:AC133"/>
    <mergeCell ref="E113:G113"/>
    <mergeCell ref="H113:R113"/>
    <mergeCell ref="E114:G114"/>
    <mergeCell ref="H114:R114"/>
    <mergeCell ref="E115:P115"/>
    <mergeCell ref="E117:E120"/>
    <mergeCell ref="F117:F120"/>
    <mergeCell ref="G117:G120"/>
    <mergeCell ref="L117:M117"/>
    <mergeCell ref="S117:S120"/>
    <mergeCell ref="H118:H119"/>
    <mergeCell ref="I118:I119"/>
    <mergeCell ref="J118:J119"/>
    <mergeCell ref="K118:K119"/>
    <mergeCell ref="E121:E124"/>
    <mergeCell ref="F121:F124"/>
    <mergeCell ref="G121:G124"/>
    <mergeCell ref="U189:U191"/>
    <mergeCell ref="V189:V191"/>
    <mergeCell ref="U140:U188"/>
    <mergeCell ref="V140:V188"/>
    <mergeCell ref="D137:D191"/>
    <mergeCell ref="E137:G137"/>
    <mergeCell ref="H137:R137"/>
    <mergeCell ref="AC137:AC188"/>
    <mergeCell ref="E138:G138"/>
    <mergeCell ref="H138:R138"/>
    <mergeCell ref="E139:G139"/>
    <mergeCell ref="H139:R139"/>
    <mergeCell ref="E140:P140"/>
    <mergeCell ref="E142:E155"/>
    <mergeCell ref="F142:F155"/>
    <mergeCell ref="G142:G155"/>
    <mergeCell ref="L142:M142"/>
    <mergeCell ref="S142:S155"/>
    <mergeCell ref="H143:H144"/>
    <mergeCell ref="I143:I144"/>
    <mergeCell ref="J143:J144"/>
    <mergeCell ref="K143:K144"/>
    <mergeCell ref="E156:E159"/>
    <mergeCell ref="F156:F159"/>
    <mergeCell ref="J26:J27"/>
    <mergeCell ref="K26:K27"/>
    <mergeCell ref="E29:E34"/>
    <mergeCell ref="F29:F34"/>
    <mergeCell ref="G29:G34"/>
    <mergeCell ref="L29:M29"/>
    <mergeCell ref="S29:S34"/>
    <mergeCell ref="H30:H31"/>
    <mergeCell ref="I30:I31"/>
    <mergeCell ref="J30:J31"/>
    <mergeCell ref="K30:K31"/>
    <mergeCell ref="H22:H23"/>
    <mergeCell ref="I22:I23"/>
    <mergeCell ref="J22:J23"/>
    <mergeCell ref="K22:K23"/>
    <mergeCell ref="E35:E40"/>
    <mergeCell ref="F35:F40"/>
    <mergeCell ref="G35:G40"/>
    <mergeCell ref="L35:M35"/>
    <mergeCell ref="S35:S40"/>
    <mergeCell ref="H36:H37"/>
    <mergeCell ref="I36:I37"/>
    <mergeCell ref="J36:J37"/>
    <mergeCell ref="K36:K37"/>
    <mergeCell ref="H32:H33"/>
    <mergeCell ref="I32:I33"/>
    <mergeCell ref="J32:J33"/>
    <mergeCell ref="K32:K33"/>
    <mergeCell ref="H38:H39"/>
    <mergeCell ref="I38:I39"/>
    <mergeCell ref="J38:J39"/>
    <mergeCell ref="K38:K39"/>
    <mergeCell ref="S25:S28"/>
    <mergeCell ref="H26:H27"/>
    <mergeCell ref="I26:I27"/>
    <mergeCell ref="E41:E46"/>
    <mergeCell ref="F41:F46"/>
    <mergeCell ref="G41:G46"/>
    <mergeCell ref="L41:M41"/>
    <mergeCell ref="S41:S46"/>
    <mergeCell ref="H42:H43"/>
    <mergeCell ref="I42:I43"/>
    <mergeCell ref="J42:J43"/>
    <mergeCell ref="K42:K43"/>
    <mergeCell ref="H44:H45"/>
    <mergeCell ref="I44:I45"/>
    <mergeCell ref="J44:J45"/>
    <mergeCell ref="K44:K45"/>
    <mergeCell ref="E47:E52"/>
    <mergeCell ref="F47:F52"/>
    <mergeCell ref="G47:G52"/>
    <mergeCell ref="L47:M47"/>
    <mergeCell ref="S47:S52"/>
    <mergeCell ref="H48:H49"/>
    <mergeCell ref="I48:I49"/>
    <mergeCell ref="J48:J49"/>
    <mergeCell ref="K48:K49"/>
    <mergeCell ref="H50:H51"/>
    <mergeCell ref="I50:I51"/>
    <mergeCell ref="J50:J51"/>
    <mergeCell ref="K50:K51"/>
    <mergeCell ref="G156:G159"/>
    <mergeCell ref="L156:M156"/>
    <mergeCell ref="S156:S159"/>
    <mergeCell ref="H157:H158"/>
    <mergeCell ref="I157:I158"/>
    <mergeCell ref="J157:J158"/>
    <mergeCell ref="K157:K158"/>
    <mergeCell ref="E160:E165"/>
    <mergeCell ref="F160:F165"/>
    <mergeCell ref="G160:G165"/>
    <mergeCell ref="L160:M160"/>
    <mergeCell ref="S160:S165"/>
    <mergeCell ref="H161:H162"/>
    <mergeCell ref="I161:I162"/>
    <mergeCell ref="J161:J162"/>
    <mergeCell ref="K161:K162"/>
    <mergeCell ref="H163:H164"/>
    <mergeCell ref="I163:I164"/>
    <mergeCell ref="J163:J164"/>
    <mergeCell ref="K163:K164"/>
    <mergeCell ref="E166:E169"/>
    <mergeCell ref="F166:F169"/>
    <mergeCell ref="G166:G169"/>
    <mergeCell ref="L166:M166"/>
    <mergeCell ref="S166:S169"/>
    <mergeCell ref="H167:H168"/>
    <mergeCell ref="I167:I168"/>
    <mergeCell ref="J167:J168"/>
    <mergeCell ref="K167:K168"/>
    <mergeCell ref="E170:E175"/>
    <mergeCell ref="F170:F175"/>
    <mergeCell ref="G170:G175"/>
    <mergeCell ref="L170:M170"/>
    <mergeCell ref="S170:S175"/>
    <mergeCell ref="H171:H172"/>
    <mergeCell ref="I171:I172"/>
    <mergeCell ref="J171:J172"/>
    <mergeCell ref="K171:K172"/>
    <mergeCell ref="E176:E179"/>
    <mergeCell ref="F176:F179"/>
    <mergeCell ref="G176:G179"/>
    <mergeCell ref="L176:M176"/>
    <mergeCell ref="S176:S179"/>
    <mergeCell ref="H177:H178"/>
    <mergeCell ref="I177:I178"/>
    <mergeCell ref="J177:J178"/>
    <mergeCell ref="K177:K178"/>
    <mergeCell ref="E180:E183"/>
    <mergeCell ref="F180:F183"/>
    <mergeCell ref="G180:G183"/>
    <mergeCell ref="L180:M180"/>
    <mergeCell ref="S180:S183"/>
    <mergeCell ref="H181:H182"/>
    <mergeCell ref="I181:I182"/>
    <mergeCell ref="J181:J182"/>
    <mergeCell ref="K181:K182"/>
    <mergeCell ref="E184:E187"/>
    <mergeCell ref="F184:F187"/>
    <mergeCell ref="G184:G187"/>
    <mergeCell ref="L184:M184"/>
    <mergeCell ref="S184:S187"/>
    <mergeCell ref="H185:H186"/>
    <mergeCell ref="I185:I186"/>
    <mergeCell ref="J185:J186"/>
    <mergeCell ref="K185:K186"/>
    <mergeCell ref="H145:H146"/>
    <mergeCell ref="I145:I146"/>
    <mergeCell ref="J145:J146"/>
    <mergeCell ref="K145:K146"/>
    <mergeCell ref="H147:H148"/>
    <mergeCell ref="I147:I148"/>
    <mergeCell ref="J147:J148"/>
    <mergeCell ref="K147:K148"/>
    <mergeCell ref="H173:H174"/>
    <mergeCell ref="I173:I174"/>
    <mergeCell ref="J173:J174"/>
    <mergeCell ref="K173:K174"/>
    <mergeCell ref="H149:H150"/>
    <mergeCell ref="I149:I150"/>
    <mergeCell ref="J149:J150"/>
    <mergeCell ref="K149:K150"/>
    <mergeCell ref="H151:H152"/>
    <mergeCell ref="I151:I152"/>
    <mergeCell ref="J151:J152"/>
    <mergeCell ref="K151:K152"/>
    <mergeCell ref="H153:H154"/>
    <mergeCell ref="I153:I154"/>
    <mergeCell ref="J153:J154"/>
    <mergeCell ref="K153:K154"/>
    <mergeCell ref="I76:I77"/>
    <mergeCell ref="J76:J77"/>
    <mergeCell ref="K76:K77"/>
    <mergeCell ref="E81:E86"/>
    <mergeCell ref="F81:F86"/>
    <mergeCell ref="G81:G86"/>
    <mergeCell ref="L81:M81"/>
    <mergeCell ref="S81:S86"/>
    <mergeCell ref="H82:H83"/>
    <mergeCell ref="I82:I83"/>
    <mergeCell ref="J82:J83"/>
    <mergeCell ref="K82:K83"/>
    <mergeCell ref="H78:H79"/>
    <mergeCell ref="I78:I79"/>
    <mergeCell ref="J78:J79"/>
    <mergeCell ref="K78:K79"/>
    <mergeCell ref="H84:H85"/>
    <mergeCell ref="I84:I85"/>
    <mergeCell ref="J84:J85"/>
    <mergeCell ref="K84:K85"/>
    <mergeCell ref="E87:E90"/>
    <mergeCell ref="F87:F90"/>
    <mergeCell ref="G87:G90"/>
    <mergeCell ref="L87:M87"/>
    <mergeCell ref="S87:S90"/>
    <mergeCell ref="H88:H89"/>
    <mergeCell ref="I88:I89"/>
    <mergeCell ref="J88:J89"/>
    <mergeCell ref="K88:K89"/>
    <mergeCell ref="E91:E94"/>
    <mergeCell ref="F91:F94"/>
    <mergeCell ref="G91:G94"/>
    <mergeCell ref="L91:M91"/>
    <mergeCell ref="S91:S94"/>
    <mergeCell ref="H92:H93"/>
    <mergeCell ref="I92:I93"/>
    <mergeCell ref="J92:J93"/>
    <mergeCell ref="K92:K93"/>
    <mergeCell ref="E95:E98"/>
    <mergeCell ref="F95:F98"/>
    <mergeCell ref="G95:G98"/>
    <mergeCell ref="L95:M95"/>
    <mergeCell ref="S95:S98"/>
    <mergeCell ref="H96:H97"/>
    <mergeCell ref="I96:I97"/>
    <mergeCell ref="J96:J97"/>
    <mergeCell ref="K96:K97"/>
    <mergeCell ref="L121:M121"/>
    <mergeCell ref="S121:S124"/>
    <mergeCell ref="H122:H123"/>
    <mergeCell ref="I122:I123"/>
    <mergeCell ref="J122:J123"/>
    <mergeCell ref="K122:K123"/>
    <mergeCell ref="E125:E128"/>
    <mergeCell ref="F125:F128"/>
    <mergeCell ref="G125:G128"/>
    <mergeCell ref="L125:M125"/>
    <mergeCell ref="S125:S128"/>
    <mergeCell ref="H126:H127"/>
    <mergeCell ref="I126:I127"/>
    <mergeCell ref="J126:J127"/>
    <mergeCell ref="K126:K127"/>
    <mergeCell ref="E129:E132"/>
    <mergeCell ref="F129:F132"/>
    <mergeCell ref="G129:G132"/>
    <mergeCell ref="L129:M129"/>
    <mergeCell ref="S129:S132"/>
    <mergeCell ref="H130:H131"/>
    <mergeCell ref="I130:I131"/>
    <mergeCell ref="J130:J131"/>
    <mergeCell ref="K130:K131"/>
  </mergeCells>
  <dataValidations count="152">
    <dataValidation type="list" allowBlank="1" showInputMessage="1" showErrorMessage="1" errorTitle="Ошибка" error="Выберите значение из списка" prompt="Выберите значение из списка" sqref="J51">
      <formula1>kind_of_purchase_method</formula1>
    </dataValidation>
    <dataValidation type="decimal" allowBlank="1" showErrorMessage="1" errorTitle="Ошибка" error="Допускается ввод только неотрицательных чисел!" sqref="Q50">
      <formula1>0</formula1>
      <formula2>9.99999999999999E+23</formula2>
    </dataValidation>
    <dataValidation type="decimal" allowBlank="1" showErrorMessage="1" errorTitle="Ошибка" error="Допускается ввод только неотрицательных чисел!" sqref="O5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50">
      <formula1>kind_of_purchase_method</formula1>
    </dataValidation>
    <dataValidation type="list" allowBlank="1" showInputMessage="1" showErrorMessage="1" errorTitle="Ошибка" error="Выберите значение из списка" prompt="Выберите значение из списка" sqref="J45">
      <formula1>kind_of_purchase_method</formula1>
    </dataValidation>
    <dataValidation type="decimal" allowBlank="1" showErrorMessage="1" errorTitle="Ошибка" error="Допускается ввод только неотрицательных чисел!" sqref="Q44">
      <formula1>0</formula1>
      <formula2>9.99999999999999E+23</formula2>
    </dataValidation>
    <dataValidation type="decimal" allowBlank="1" showErrorMessage="1" errorTitle="Ошибка" error="Допускается ввод только неотрицательных чисел!" sqref="O4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44">
      <formula1>kind_of_purchase_method</formula1>
    </dataValidation>
    <dataValidation type="list" allowBlank="1" showInputMessage="1" showErrorMessage="1" errorTitle="Ошибка" error="Выберите значение из списка" prompt="Выберите значение из списка" sqref="J39">
      <formula1>kind_of_purchase_method</formula1>
    </dataValidation>
    <dataValidation type="decimal" allowBlank="1" showErrorMessage="1" errorTitle="Ошибка" error="Допускается ввод только неотрицательных чисел!" sqref="Q38">
      <formula1>0</formula1>
      <formula2>9.99999999999999E+23</formula2>
    </dataValidation>
    <dataValidation type="decimal" allowBlank="1" showErrorMessage="1" errorTitle="Ошибка" error="Допускается ввод только неотрицательных чисел!" sqref="O38">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38">
      <formula1>kind_of_purchase_method</formula1>
    </dataValidation>
    <dataValidation type="list" allowBlank="1" showInputMessage="1" showErrorMessage="1" errorTitle="Ошибка" error="Выберите значение из списка" prompt="Выберите значение из списка" sqref="J33">
      <formula1>kind_of_purchase_method</formula1>
    </dataValidation>
    <dataValidation type="decimal" allowBlank="1" showErrorMessage="1" errorTitle="Ошибка" error="Допускается ввод только неотрицательных чисел!" sqref="Q32">
      <formula1>0</formula1>
      <formula2>9.99999999999999E+23</formula2>
    </dataValidation>
    <dataValidation type="decimal" allowBlank="1" showErrorMessage="1" errorTitle="Ошибка" error="Допускается ввод только неотрицательных чисел!" sqref="O3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32">
      <formula1>kind_of_purchase_method</formula1>
    </dataValidation>
    <dataValidation type="list" allowBlank="1" showInputMessage="1" showErrorMessage="1" errorTitle="Ошибка" error="Выберите значение из списка" prompt="Выберите значение из списка" sqref="J49">
      <formula1>kind_of_purchase_method</formula1>
    </dataValidation>
    <dataValidation type="decimal" allowBlank="1" showErrorMessage="1" errorTitle="Ошибка" error="Допускается ввод только неотрицательных чисел!" sqref="Q48">
      <formula1>0</formula1>
      <formula2>9.99999999999999E+23</formula2>
    </dataValidation>
    <dataValidation type="decimal" allowBlank="1" showErrorMessage="1" errorTitle="Ошибка" error="Допускается ввод только неотрицательных чисел!" sqref="O48">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48">
      <formula1>kind_of_purchase_method</formula1>
    </dataValidation>
    <dataValidation type="list" allowBlank="1" showInputMessage="1" showErrorMessage="1" errorTitle="Ошибка" error="Выберите значение из списка" prompt="Выберите значение из списка" sqref="J43">
      <formula1>kind_of_purchase_method</formula1>
    </dataValidation>
    <dataValidation type="decimal" allowBlank="1" showErrorMessage="1" errorTitle="Ошибка" error="Допускается ввод только неотрицательных чисел!" sqref="Q42">
      <formula1>0</formula1>
      <formula2>9.99999999999999E+23</formula2>
    </dataValidation>
    <dataValidation type="decimal" allowBlank="1" showErrorMessage="1" errorTitle="Ошибка" error="Допускается ввод только неотрицательных чисел!" sqref="O4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42">
      <formula1>kind_of_purchase_method</formula1>
    </dataValidation>
    <dataValidation type="list" allowBlank="1" showInputMessage="1" showErrorMessage="1" errorTitle="Ошибка" error="Выберите значение из списка" prompt="Выберите значение из списка" sqref="J37">
      <formula1>kind_of_purchase_method</formula1>
    </dataValidation>
    <dataValidation type="decimal" allowBlank="1" showErrorMessage="1" errorTitle="Ошибка" error="Допускается ввод только неотрицательных чисел!" sqref="Q36">
      <formula1>0</formula1>
      <formula2>9.99999999999999E+23</formula2>
    </dataValidation>
    <dataValidation type="decimal" allowBlank="1" showErrorMessage="1" errorTitle="Ошибка" error="Допускается ввод только неотрицательных чисел!" sqref="O36">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36">
      <formula1>kind_of_purchase_method</formula1>
    </dataValidation>
    <dataValidation type="list" allowBlank="1" showInputMessage="1" showErrorMessage="1" errorTitle="Ошибка" error="Выберите значение из списка" prompt="Выберите значение из списка" sqref="J23">
      <formula1>kind_of_purchase_method</formula1>
    </dataValidation>
    <dataValidation type="decimal" allowBlank="1" showErrorMessage="1" errorTitle="Ошибка" error="Допускается ввод только неотрицательных чисел!" sqref="Q22">
      <formula1>0</formula1>
      <formula2>9.99999999999999E+23</formula2>
    </dataValidation>
    <dataValidation type="decimal" allowBlank="1" showErrorMessage="1" errorTitle="Ошибка" error="Допускается ввод только неотрицательных чисел!" sqref="O2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2">
      <formula1>kind_of_purchase_method</formula1>
    </dataValidation>
    <dataValidation type="list" allowBlank="1" showInputMessage="1" showErrorMessage="1" errorTitle="Ошибка" error="Выберите значение из списка" prompt="Выберите значение из списка" sqref="J31">
      <formula1>kind_of_purchase_method</formula1>
    </dataValidation>
    <dataValidation type="decimal" allowBlank="1" showErrorMessage="1" errorTitle="Ошибка" error="Допускается ввод только неотрицательных чисел!" sqref="Q30">
      <formula1>0</formula1>
      <formula2>9.99999999999999E+23</formula2>
    </dataValidation>
    <dataValidation type="decimal" allowBlank="1" showErrorMessage="1" errorTitle="Ошибка" error="Допускается ввод только неотрицательных чисел!" sqref="O3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30">
      <formula1>kind_of_purchase_method</formula1>
    </dataValidation>
    <dataValidation type="list" allowBlank="1" showInputMessage="1" showErrorMessage="1" errorTitle="Ошибка" error="Выберите значение из списка" prompt="Выберите значение из списка" sqref="J27">
      <formula1>kind_of_purchase_method</formula1>
    </dataValidation>
    <dataValidation type="decimal" allowBlank="1" showErrorMessage="1" errorTitle="Ошибка" error="Допускается ввод только неотрицательных чисел!" sqref="Q26">
      <formula1>0</formula1>
      <formula2>9.99999999999999E+23</formula2>
    </dataValidation>
    <dataValidation type="decimal" allowBlank="1" showErrorMessage="1" errorTitle="Ошибка" error="Допускается ввод только неотрицательных чисел!" sqref="O26">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6">
      <formula1>kind_of_purchase_method</formula1>
    </dataValidation>
    <dataValidation type="list" allowBlank="1" showInputMessage="1" showErrorMessage="1" errorTitle="Ошибка" error="Выберите значение из списка" prompt="Выберите значение из списка" sqref="J21">
      <formula1>kind_of_purchase_method</formula1>
    </dataValidation>
    <dataValidation type="decimal" allowBlank="1" showErrorMessage="1" errorTitle="Ошибка" error="Допускается ввод только неотрицательных чисел!" sqref="Q20">
      <formula1>0</formula1>
      <formula2>9.99999999999999E+23</formula2>
    </dataValidation>
    <dataValidation type="decimal" allowBlank="1" showErrorMessage="1" errorTitle="Ошибка" error="Допускается ввод только неотрицательных чисел!" sqref="O2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0">
      <formula1>kind_of_purchase_method</formula1>
    </dataValidation>
    <dataValidation type="list" allowBlank="1" showInputMessage="1" showErrorMessage="1" errorTitle="Ошибка" error="Выберите значение из списка" prompt="Выберите значение из списка" sqref="J143">
      <formula1>kind_of_purchase_method</formula1>
    </dataValidation>
    <dataValidation type="decimal" allowBlank="1" showErrorMessage="1" errorTitle="Ошибка" error="Допускается ввод только неотрицательных чисел!" sqref="O143">
      <formula1>0</formula1>
      <formula2>9.99999999999999E+23</formula2>
    </dataValidation>
    <dataValidation type="decimal" allowBlank="1" showErrorMessage="1" errorTitle="Ошибка" error="Допускается ввод только неотрицательных чисел!" sqref="Q14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44">
      <formula1>kind_of_purchase_method</formula1>
    </dataValidation>
    <dataValidation type="list" allowBlank="1" showInputMessage="1" showErrorMessage="1" errorTitle="Ошибка" error="Выберите значение из списка" prompt="Выберите значение из списка" sqref="J157">
      <formula1>kind_of_purchase_method</formula1>
    </dataValidation>
    <dataValidation type="decimal" allowBlank="1" showErrorMessage="1" errorTitle="Ошибка" error="Допускается ввод только неотрицательных чисел!" sqref="O157">
      <formula1>0</formula1>
      <formula2>9.99999999999999E+23</formula2>
    </dataValidation>
    <dataValidation type="decimal" allowBlank="1" showErrorMessage="1" errorTitle="Ошибка" error="Допускается ввод только неотрицательных чисел!" sqref="Q157">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58">
      <formula1>kind_of_purchase_method</formula1>
    </dataValidation>
    <dataValidation type="list" allowBlank="1" showInputMessage="1" showErrorMessage="1" errorTitle="Ошибка" error="Выберите значение из списка" prompt="Выберите значение из списка" sqref="J161">
      <formula1>kind_of_purchase_method</formula1>
    </dataValidation>
    <dataValidation type="decimal" allowBlank="1" showErrorMessage="1" errorTitle="Ошибка" error="Допускается ввод только неотрицательных чисел!" sqref="O161">
      <formula1>0</formula1>
      <formula2>9.99999999999999E+23</formula2>
    </dataValidation>
    <dataValidation type="decimal" allowBlank="1" showErrorMessage="1" errorTitle="Ошибка" error="Допускается ввод только неотрицательных чисел!" sqref="Q161">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62">
      <formula1>kind_of_purchase_method</formula1>
    </dataValidation>
    <dataValidation type="list" allowBlank="1" showInputMessage="1" showErrorMessage="1" errorTitle="Ошибка" error="Выберите значение из списка" prompt="Выберите значение из списка" sqref="J167">
      <formula1>kind_of_purchase_method</formula1>
    </dataValidation>
    <dataValidation type="decimal" allowBlank="1" showErrorMessage="1" errorTitle="Ошибка" error="Допускается ввод только неотрицательных чисел!" sqref="O167">
      <formula1>0</formula1>
      <formula2>9.99999999999999E+23</formula2>
    </dataValidation>
    <dataValidation type="decimal" allowBlank="1" showErrorMessage="1" errorTitle="Ошибка" error="Допускается ввод только неотрицательных чисел!" sqref="Q167">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68">
      <formula1>kind_of_purchase_method</formula1>
    </dataValidation>
    <dataValidation type="list" allowBlank="1" showInputMessage="1" showErrorMessage="1" errorTitle="Ошибка" error="Выберите значение из списка" prompt="Выберите значение из списка" sqref="J171">
      <formula1>kind_of_purchase_method</formula1>
    </dataValidation>
    <dataValidation type="decimal" allowBlank="1" showErrorMessage="1" errorTitle="Ошибка" error="Допускается ввод только неотрицательных чисел!" sqref="O171">
      <formula1>0</formula1>
      <formula2>9.99999999999999E+23</formula2>
    </dataValidation>
    <dataValidation type="decimal" allowBlank="1" showErrorMessage="1" errorTitle="Ошибка" error="Допускается ввод только неотрицательных чисел!" sqref="Q171">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72">
      <formula1>kind_of_purchase_method</formula1>
    </dataValidation>
    <dataValidation type="list" allowBlank="1" showInputMessage="1" showErrorMessage="1" errorTitle="Ошибка" error="Выберите значение из списка" prompt="Выберите значение из списка" sqref="J177">
      <formula1>kind_of_purchase_method</formula1>
    </dataValidation>
    <dataValidation type="decimal" allowBlank="1" showErrorMessage="1" errorTitle="Ошибка" error="Допускается ввод только неотрицательных чисел!" sqref="O177">
      <formula1>0</formula1>
      <formula2>9.99999999999999E+23</formula2>
    </dataValidation>
    <dataValidation type="decimal" allowBlank="1" showErrorMessage="1" errorTitle="Ошибка" error="Допускается ввод только неотрицательных чисел!" sqref="Q177">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78">
      <formula1>kind_of_purchase_method</formula1>
    </dataValidation>
    <dataValidation type="list" allowBlank="1" showInputMessage="1" showErrorMessage="1" errorTitle="Ошибка" error="Выберите значение из списка" prompt="Выберите значение из списка" sqref="J181">
      <formula1>kind_of_purchase_method</formula1>
    </dataValidation>
    <dataValidation type="decimal" allowBlank="1" showErrorMessage="1" errorTitle="Ошибка" error="Допускается ввод только неотрицательных чисел!" sqref="O181">
      <formula1>0</formula1>
      <formula2>9.99999999999999E+23</formula2>
    </dataValidation>
    <dataValidation type="decimal" allowBlank="1" showErrorMessage="1" errorTitle="Ошибка" error="Допускается ввод только неотрицательных чисел!" sqref="Q181">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82">
      <formula1>kind_of_purchase_method</formula1>
    </dataValidation>
    <dataValidation type="list" allowBlank="1" showInputMessage="1" showErrorMessage="1" errorTitle="Ошибка" error="Выберите значение из списка" prompt="Выберите значение из списка" sqref="J185">
      <formula1>kind_of_purchase_method</formula1>
    </dataValidation>
    <dataValidation type="decimal" allowBlank="1" showErrorMessage="1" errorTitle="Ошибка" error="Допускается ввод только неотрицательных чисел!" sqref="O185">
      <formula1>0</formula1>
      <formula2>9.99999999999999E+23</formula2>
    </dataValidation>
    <dataValidation type="decimal" allowBlank="1" showErrorMessage="1" errorTitle="Ошибка" error="Допускается ввод только неотрицательных чисел!" sqref="Q18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86">
      <formula1>kind_of_purchase_method</formula1>
    </dataValidation>
    <dataValidation type="list" allowBlank="1" showInputMessage="1" showErrorMessage="1" errorTitle="Ошибка" error="Выберите значение из списка" prompt="Выберите значение из списка" sqref="J145">
      <formula1>kind_of_purchase_method</formula1>
    </dataValidation>
    <dataValidation type="decimal" allowBlank="1" showErrorMessage="1" errorTitle="Ошибка" error="Допускается ввод только неотрицательных чисел!" sqref="O145">
      <formula1>0</formula1>
      <formula2>9.99999999999999E+23</formula2>
    </dataValidation>
    <dataValidation type="decimal" allowBlank="1" showErrorMessage="1" errorTitle="Ошибка" error="Допускается ввод только неотрицательных чисел!" sqref="Q14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46">
      <formula1>kind_of_purchase_method</formula1>
    </dataValidation>
    <dataValidation type="list" allowBlank="1" showInputMessage="1" showErrorMessage="1" errorTitle="Ошибка" error="Выберите значение из списка" prompt="Выберите значение из списка" sqref="J147">
      <formula1>kind_of_purchase_method</formula1>
    </dataValidation>
    <dataValidation type="decimal" allowBlank="1" showErrorMessage="1" errorTitle="Ошибка" error="Допускается ввод только неотрицательных чисел!" sqref="O147">
      <formula1>0</formula1>
      <formula2>9.99999999999999E+23</formula2>
    </dataValidation>
    <dataValidation type="decimal" allowBlank="1" showErrorMessage="1" errorTitle="Ошибка" error="Допускается ввод только неотрицательных чисел!" sqref="Q147">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48">
      <formula1>kind_of_purchase_method</formula1>
    </dataValidation>
    <dataValidation type="list" allowBlank="1" showInputMessage="1" showErrorMessage="1" errorTitle="Ошибка" error="Выберите значение из списка" prompt="Выберите значение из списка" sqref="J173">
      <formula1>kind_of_purchase_method</formula1>
    </dataValidation>
    <dataValidation type="decimal" allowBlank="1" showErrorMessage="1" errorTitle="Ошибка" error="Допускается ввод только неотрицательных чисел!" sqref="O173">
      <formula1>0</formula1>
      <formula2>9.99999999999999E+23</formula2>
    </dataValidation>
    <dataValidation type="decimal" allowBlank="1" showErrorMessage="1" errorTitle="Ошибка" error="Допускается ввод только неотрицательных чисел!" sqref="Q17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74">
      <formula1>kind_of_purchase_method</formula1>
    </dataValidation>
    <dataValidation type="list" allowBlank="1" showInputMessage="1" showErrorMessage="1" errorTitle="Ошибка" error="Выберите значение из списка" prompt="Выберите значение из списка" sqref="J149">
      <formula1>kind_of_purchase_method</formula1>
    </dataValidation>
    <dataValidation type="decimal" allowBlank="1" showErrorMessage="1" errorTitle="Ошибка" error="Допускается ввод только неотрицательных чисел!" sqref="O149">
      <formula1>0</formula1>
      <formula2>9.99999999999999E+23</formula2>
    </dataValidation>
    <dataValidation type="decimal" allowBlank="1" showErrorMessage="1" errorTitle="Ошибка" error="Допускается ввод только неотрицательных чисел!" sqref="Q149">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50">
      <formula1>kind_of_purchase_method</formula1>
    </dataValidation>
    <dataValidation type="list" allowBlank="1" showInputMessage="1" showErrorMessage="1" errorTitle="Ошибка" error="Выберите значение из списка" prompt="Выберите значение из списка" sqref="J151">
      <formula1>kind_of_purchase_method</formula1>
    </dataValidation>
    <dataValidation type="decimal" allowBlank="1" showErrorMessage="1" errorTitle="Ошибка" error="Допускается ввод только неотрицательных чисел!" sqref="O151">
      <formula1>0</formula1>
      <formula2>9.99999999999999E+23</formula2>
    </dataValidation>
    <dataValidation type="decimal" allowBlank="1" showErrorMessage="1" errorTitle="Ошибка" error="Допускается ввод только неотрицательных чисел!" sqref="Q151">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52">
      <formula1>kind_of_purchase_method</formula1>
    </dataValidation>
    <dataValidation type="list" allowBlank="1" showInputMessage="1" showErrorMessage="1" errorTitle="Ошибка" error="Выберите значение из списка" prompt="Выберите значение из списка" sqref="J153">
      <formula1>kind_of_purchase_method</formula1>
    </dataValidation>
    <dataValidation type="decimal" allowBlank="1" showErrorMessage="1" errorTitle="Ошибка" error="Допускается ввод только неотрицательных чисел!" sqref="O153">
      <formula1>0</formula1>
      <formula2>9.99999999999999E+23</formula2>
    </dataValidation>
    <dataValidation type="decimal" allowBlank="1" showErrorMessage="1" errorTitle="Ошибка" error="Допускается ввод только неотрицательных чисел!" sqref="Q15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54">
      <formula1>kind_of_purchase_method</formula1>
    </dataValidation>
    <dataValidation type="list" allowBlank="1" showInputMessage="1" showErrorMessage="1" errorTitle="Ошибка" error="Выберите значение из списка" prompt="Выберите значение из списка" sqref="J163">
      <formula1>kind_of_purchase_method</formula1>
    </dataValidation>
    <dataValidation type="decimal" allowBlank="1" showErrorMessage="1" errorTitle="Ошибка" error="Допускается ввод только неотрицательных чисел!" sqref="O163">
      <formula1>0</formula1>
      <formula2>9.99999999999999E+23</formula2>
    </dataValidation>
    <dataValidation type="decimal" allowBlank="1" showErrorMessage="1" errorTitle="Ошибка" error="Допускается ввод только неотрицательных чисел!" sqref="Q16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64">
      <formula1>kind_of_purchase_method</formula1>
    </dataValidation>
    <dataValidation type="list" allowBlank="1" showInputMessage="1" showErrorMessage="1" errorTitle="Ошибка" error="Выберите значение из списка" prompt="Выберите значение из списка" sqref="J72">
      <formula1>kind_of_purchase_method</formula1>
    </dataValidation>
    <dataValidation type="decimal" allowBlank="1" showErrorMessage="1" errorTitle="Ошибка" error="Допускается ввод только неотрицательных чисел!" sqref="O72">
      <formula1>0</formula1>
      <formula2>9.99999999999999E+23</formula2>
    </dataValidation>
    <dataValidation type="decimal" allowBlank="1" showErrorMessage="1" errorTitle="Ошибка" error="Допускается ввод только неотрицательных чисел!" sqref="Q7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73">
      <formula1>kind_of_purchase_method</formula1>
    </dataValidation>
    <dataValidation type="list" allowBlank="1" showInputMessage="1" showErrorMessage="1" errorTitle="Ошибка" error="Выберите значение из списка" prompt="Выберите значение из списка" sqref="J76">
      <formula1>kind_of_purchase_method</formula1>
    </dataValidation>
    <dataValidation type="decimal" allowBlank="1" showErrorMessage="1" errorTitle="Ошибка" error="Допускается ввод только неотрицательных чисел!" sqref="O76">
      <formula1>0</formula1>
      <formula2>9.99999999999999E+23</formula2>
    </dataValidation>
    <dataValidation type="decimal" allowBlank="1" showErrorMessage="1" errorTitle="Ошибка" error="Допускается ввод только неотрицательных чисел!" sqref="Q76">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77">
      <formula1>kind_of_purchase_method</formula1>
    </dataValidation>
    <dataValidation type="list" allowBlank="1" showInputMessage="1" showErrorMessage="1" errorTitle="Ошибка" error="Выберите значение из списка" prompt="Выберите значение из списка" sqref="J82">
      <formula1>kind_of_purchase_method</formula1>
    </dataValidation>
    <dataValidation type="decimal" allowBlank="1" showErrorMessage="1" errorTitle="Ошибка" error="Допускается ввод только неотрицательных чисел!" sqref="O82">
      <formula1>0</formula1>
      <formula2>9.99999999999999E+23</formula2>
    </dataValidation>
    <dataValidation type="decimal" allowBlank="1" showErrorMessage="1" errorTitle="Ошибка" error="Допускается ввод только неотрицательных чисел!" sqref="Q8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83">
      <formula1>kind_of_purchase_method</formula1>
    </dataValidation>
    <dataValidation type="list" allowBlank="1" showInputMessage="1" showErrorMessage="1" errorTitle="Ошибка" error="Выберите значение из списка" prompt="Выберите значение из списка" sqref="J88">
      <formula1>kind_of_purchase_method</formula1>
    </dataValidation>
    <dataValidation type="decimal" allowBlank="1" showErrorMessage="1" errorTitle="Ошибка" error="Допускается ввод только неотрицательных чисел!" sqref="O88">
      <formula1>0</formula1>
      <formula2>9.99999999999999E+23</formula2>
    </dataValidation>
    <dataValidation type="decimal" allowBlank="1" showErrorMessage="1" errorTitle="Ошибка" error="Допускается ввод только неотрицательных чисел!" sqref="Q88">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89">
      <formula1>kind_of_purchase_method</formula1>
    </dataValidation>
    <dataValidation type="list" allowBlank="1" showInputMessage="1" showErrorMessage="1" errorTitle="Ошибка" error="Выберите значение из списка" prompt="Выберите значение из списка" sqref="J92">
      <formula1>kind_of_purchase_method</formula1>
    </dataValidation>
    <dataValidation type="decimal" allowBlank="1" showErrorMessage="1" errorTitle="Ошибка" error="Допускается ввод только неотрицательных чисел!" sqref="O92">
      <formula1>0</formula1>
      <formula2>9.99999999999999E+23</formula2>
    </dataValidation>
    <dataValidation type="decimal" allowBlank="1" showErrorMessage="1" errorTitle="Ошибка" error="Допускается ввод только неотрицательных чисел!" sqref="Q9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93">
      <formula1>kind_of_purchase_method</formula1>
    </dataValidation>
    <dataValidation type="list" allowBlank="1" showInputMessage="1" showErrorMessage="1" errorTitle="Ошибка" error="Выберите значение из списка" prompt="Выберите значение из списка" sqref="J96">
      <formula1>kind_of_purchase_method</formula1>
    </dataValidation>
    <dataValidation type="decimal" allowBlank="1" showErrorMessage="1" errorTitle="Ошибка" error="Допускается ввод только неотрицательных чисел!" sqref="O96">
      <formula1>0</formula1>
      <formula2>9.99999999999999E+23</formula2>
    </dataValidation>
    <dataValidation type="decimal" allowBlank="1" showErrorMessage="1" errorTitle="Ошибка" error="Допускается ввод только неотрицательных чисел!" sqref="Q96">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97">
      <formula1>kind_of_purchase_method</formula1>
    </dataValidation>
    <dataValidation type="list" allowBlank="1" showInputMessage="1" showErrorMessage="1" errorTitle="Ошибка" error="Выберите значение из списка" prompt="Выберите значение из списка" sqref="J78">
      <formula1>kind_of_purchase_method</formula1>
    </dataValidation>
    <dataValidation type="decimal" allowBlank="1" showErrorMessage="1" errorTitle="Ошибка" error="Допускается ввод только неотрицательных чисел!" sqref="O78">
      <formula1>0</formula1>
      <formula2>9.99999999999999E+23</formula2>
    </dataValidation>
    <dataValidation type="decimal" allowBlank="1" showErrorMessage="1" errorTitle="Ошибка" error="Допускается ввод только неотрицательных чисел!" sqref="Q78">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79">
      <formula1>kind_of_purchase_method</formula1>
    </dataValidation>
    <dataValidation type="list" allowBlank="1" showInputMessage="1" showErrorMessage="1" errorTitle="Ошибка" error="Выберите значение из списка" prompt="Выберите значение из списка" sqref="J84">
      <formula1>kind_of_purchase_method</formula1>
    </dataValidation>
    <dataValidation type="decimal" allowBlank="1" showErrorMessage="1" errorTitle="Ошибка" error="Допускается ввод только неотрицательных чисел!" sqref="O84">
      <formula1>0</formula1>
      <formula2>9.99999999999999E+23</formula2>
    </dataValidation>
    <dataValidation type="decimal" allowBlank="1" showErrorMessage="1" errorTitle="Ошибка" error="Допускается ввод только неотрицательных чисел!" sqref="Q8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85">
      <formula1>kind_of_purchase_method</formula1>
    </dataValidation>
    <dataValidation type="list" allowBlank="1" showInputMessage="1" showErrorMessage="1" errorTitle="Ошибка" error="Выберите значение из списка" prompt="Выберите значение из списка" sqref="J118">
      <formula1>kind_of_purchase_method</formula1>
    </dataValidation>
    <dataValidation type="decimal" allowBlank="1" showErrorMessage="1" errorTitle="Ошибка" error="Допускается ввод только неотрицательных чисел!" sqref="O118">
      <formula1>0</formula1>
      <formula2>9.99999999999999E+23</formula2>
    </dataValidation>
    <dataValidation type="decimal" allowBlank="1" showErrorMessage="1" errorTitle="Ошибка" error="Допускается ввод только неотрицательных чисел!" sqref="Q118">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19">
      <formula1>kind_of_purchase_method</formula1>
    </dataValidation>
    <dataValidation type="list" allowBlank="1" showInputMessage="1" showErrorMessage="1" errorTitle="Ошибка" error="Выберите значение из списка" prompt="Выберите значение из списка" sqref="J122">
      <formula1>kind_of_purchase_method</formula1>
    </dataValidation>
    <dataValidation type="decimal" allowBlank="1" showErrorMessage="1" errorTitle="Ошибка" error="Допускается ввод только неотрицательных чисел!" sqref="O122">
      <formula1>0</formula1>
      <formula2>9.99999999999999E+23</formula2>
    </dataValidation>
    <dataValidation type="decimal" allowBlank="1" showErrorMessage="1" errorTitle="Ошибка" error="Допускается ввод только неотрицательных чисел!" sqref="Q12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23">
      <formula1>kind_of_purchase_method</formula1>
    </dataValidation>
    <dataValidation type="list" allowBlank="1" showInputMessage="1" showErrorMessage="1" errorTitle="Ошибка" error="Выберите значение из списка" prompt="Выберите значение из списка" sqref="J126">
      <formula1>kind_of_purchase_method</formula1>
    </dataValidation>
    <dataValidation type="decimal" allowBlank="1" showErrorMessage="1" errorTitle="Ошибка" error="Допускается ввод только неотрицательных чисел!" sqref="O126">
      <formula1>0</formula1>
      <formula2>9.99999999999999E+23</formula2>
    </dataValidation>
    <dataValidation type="decimal" allowBlank="1" showErrorMessage="1" errorTitle="Ошибка" error="Допускается ввод только неотрицательных чисел!" sqref="Q126">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27">
      <formula1>kind_of_purchase_method</formula1>
    </dataValidation>
    <dataValidation type="list" allowBlank="1" showInputMessage="1" showErrorMessage="1" errorTitle="Ошибка" error="Выберите значение из списка" prompt="Выберите значение из списка" sqref="J130">
      <formula1>kind_of_purchase_method</formula1>
    </dataValidation>
    <dataValidation type="decimal" allowBlank="1" showErrorMessage="1" errorTitle="Ошибка" error="Допускается ввод только неотрицательных чисел!" sqref="O130">
      <formula1>0</formula1>
      <formula2>9.99999999999999E+23</formula2>
    </dataValidation>
    <dataValidation type="decimal" allowBlank="1" showErrorMessage="1" errorTitle="Ошибка" error="Допускается ввод только неотрицательных чисел!" sqref="Q13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31">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P204"/>
  <sheetViews>
    <sheetView showGridLines="0" zoomScale="90" workbookViewId="0">
      <pane xSplit="12" ySplit="14" topLeftCell="R15" activePane="bottomRight" state="frozen"/>
      <selection pane="topRight" activeCell="M1" sqref="M1"/>
      <selection pane="bottomLeft" activeCell="A15" sqref="A15"/>
      <selection pane="bottomRight" activeCell="R9" sqref="R9"/>
    </sheetView>
  </sheetViews>
  <sheetFormatPr defaultColWidth="9.140625" defaultRowHeight="11.25" customHeight="1"/>
  <cols>
    <col min="1" max="5" width="10.7109375" style="914" hidden="1" customWidth="1"/>
    <col min="6" max="6" width="16.85546875" style="1289" hidden="1" customWidth="1"/>
    <col min="7" max="7" width="5.5703125" style="1565" hidden="1" customWidth="1"/>
    <col min="8" max="8" width="3" style="1558" customWidth="1"/>
    <col min="9" max="9" width="7" style="1558" customWidth="1"/>
    <col min="10" max="10" width="56" style="1558" customWidth="1"/>
    <col min="11" max="11" width="10" style="1558" customWidth="1"/>
    <col min="12" max="12" width="40.5703125" style="1558" hidden="1" customWidth="1"/>
    <col min="13" max="13" width="40.7109375" style="1558" customWidth="1"/>
    <col min="14" max="18" width="40.5703125" style="1558" customWidth="1"/>
    <col min="19" max="19" width="9.7109375" style="1289" hidden="1" customWidth="1"/>
    <col min="20" max="20" width="102" style="1558" customWidth="1"/>
    <col min="21" max="21" width="9" style="1289" customWidth="1"/>
    <col min="22" max="22" width="5" style="1565" customWidth="1"/>
    <col min="23" max="23" width="3" style="1565" customWidth="1"/>
    <col min="24" max="27" width="3" style="1289" customWidth="1"/>
    <col min="28" max="28" width="10" style="1565" customWidth="1"/>
    <col min="29" max="29" width="34" style="1289" customWidth="1"/>
    <col min="30" max="30" width="9" style="1289" customWidth="1"/>
    <col min="31" max="31" width="8" style="671" customWidth="1"/>
    <col min="32" max="36" width="8" style="1289" customWidth="1"/>
    <col min="37" max="41" width="8" style="1555" customWidth="1"/>
    <col min="42" max="42" width="5.42578125" style="1558" hidden="1" customWidth="1"/>
  </cols>
  <sheetData>
    <row r="1" spans="1:42" s="1289" customFormat="1" ht="33.75" hidden="1" customHeight="1">
      <c r="A1" s="914"/>
      <c r="B1" s="914"/>
      <c r="C1" s="914"/>
      <c r="D1" s="914"/>
      <c r="E1" s="914"/>
      <c r="G1" s="1559"/>
      <c r="H1" s="807"/>
      <c r="L1" s="1289">
        <v>4</v>
      </c>
      <c r="M1" s="1289">
        <v>4</v>
      </c>
      <c r="N1" s="1289">
        <v>4</v>
      </c>
      <c r="O1" s="1289">
        <v>4</v>
      </c>
      <c r="P1" s="1289">
        <v>4</v>
      </c>
      <c r="Q1" s="1289" t="s">
        <v>91</v>
      </c>
      <c r="R1" s="1289">
        <v>4</v>
      </c>
      <c r="V1" s="1559"/>
      <c r="W1" s="1559"/>
      <c r="AB1" s="1559"/>
      <c r="AP1" s="1289" t="s">
        <v>14</v>
      </c>
    </row>
    <row r="2" spans="1:42" s="1289" customFormat="1" ht="78.75" hidden="1" customHeight="1">
      <c r="A2" s="914"/>
      <c r="B2" s="1967" t="s">
        <v>761</v>
      </c>
      <c r="C2" s="1967" t="s">
        <v>762</v>
      </c>
      <c r="D2" s="1966" t="s">
        <v>763</v>
      </c>
      <c r="E2" s="1970" t="e">
        <f>RIGHT(I2,LEN(I2)-SEARCH("#",SUBSTITUTE(I2,".","#",LEN(I2)-LEN(SUBSTITUTE(I2,".","")))))</f>
        <v>#VALUE!</v>
      </c>
      <c r="F2" s="1972">
        <f>J2</f>
        <v>0</v>
      </c>
      <c r="G2" s="1559"/>
      <c r="H2" s="1973"/>
      <c r="I2" s="1963"/>
      <c r="J2" s="476"/>
      <c r="K2" s="1933" t="s">
        <v>573</v>
      </c>
      <c r="L2" s="686"/>
      <c r="M2" s="686"/>
      <c r="N2" s="686"/>
      <c r="O2" s="686"/>
      <c r="P2" s="686"/>
      <c r="Q2" s="686"/>
      <c r="R2" s="686"/>
      <c r="S2" s="479"/>
      <c r="T2" s="1448" t="s">
        <v>574</v>
      </c>
      <c r="U2" s="479"/>
      <c r="V2" s="1559"/>
      <c r="W2" s="1559"/>
      <c r="AB2" s="1559"/>
      <c r="AE2" s="480"/>
      <c r="AK2" s="1555"/>
      <c r="AL2" s="1555"/>
      <c r="AM2" s="1555"/>
      <c r="AN2" s="1555"/>
      <c r="AO2" s="1555"/>
      <c r="AP2" s="1289">
        <v>0</v>
      </c>
    </row>
    <row r="3" spans="1:42" ht="11.25" hidden="1" customHeight="1">
      <c r="E3" s="1965" t="s">
        <v>764</v>
      </c>
      <c r="L3" s="1554">
        <f>0</f>
        <v>0</v>
      </c>
      <c r="M3" s="1554">
        <v>1</v>
      </c>
      <c r="N3" s="1558">
        <f>0</f>
        <v>0</v>
      </c>
      <c r="O3" s="1558">
        <f>0</f>
        <v>0</v>
      </c>
      <c r="P3" s="1558">
        <f>0</f>
        <v>0</v>
      </c>
      <c r="Q3" s="1558">
        <f>0</f>
        <v>0</v>
      </c>
      <c r="R3" s="1558">
        <f>0</f>
        <v>0</v>
      </c>
      <c r="AP3" s="1554">
        <v>0</v>
      </c>
    </row>
    <row r="4" spans="1:42" s="1555" customFormat="1" ht="11.25" hidden="1" customHeight="1">
      <c r="A4" s="914"/>
      <c r="B4" s="914"/>
      <c r="C4" s="914"/>
      <c r="E4" s="914"/>
      <c r="F4" s="1289"/>
      <c r="G4" s="1559"/>
      <c r="H4" s="556"/>
      <c r="S4" s="1289"/>
      <c r="T4" s="1555">
        <v>4</v>
      </c>
      <c r="U4" s="1289"/>
      <c r="V4" s="1559"/>
      <c r="W4" s="1559"/>
      <c r="X4" s="1289"/>
      <c r="Y4" s="1289"/>
      <c r="Z4" s="1289"/>
      <c r="AA4" s="1289"/>
      <c r="AB4" s="1559"/>
      <c r="AC4" s="1289"/>
      <c r="AD4" s="1289"/>
      <c r="AE4" s="480"/>
      <c r="AF4" s="1289"/>
      <c r="AG4" s="1289"/>
      <c r="AH4" s="1289"/>
      <c r="AI4" s="1289"/>
      <c r="AJ4" s="1289"/>
      <c r="AP4" s="1555">
        <v>0</v>
      </c>
    </row>
    <row r="5" spans="1:42" ht="11.45" customHeight="1">
      <c r="AP5" s="1554">
        <v>11</v>
      </c>
    </row>
    <row r="6" spans="1:42" ht="57.75" customHeight="1">
      <c r="I6" s="2451" t="s">
        <v>765</v>
      </c>
      <c r="J6" s="2451"/>
      <c r="K6" s="2451"/>
      <c r="L6" s="2451"/>
      <c r="M6" s="2451"/>
      <c r="N6" s="2023"/>
      <c r="O6" s="2023"/>
      <c r="P6" s="2023"/>
      <c r="Q6" s="2023"/>
      <c r="R6" s="2023"/>
      <c r="T6" s="492"/>
      <c r="AP6" s="1554">
        <v>55</v>
      </c>
    </row>
    <row r="7" spans="1:42" ht="25.15" customHeight="1">
      <c r="I7" s="2436" t="str">
        <f>IF(org=0,"Не определено",org)</f>
        <v>ПАО "ТГК-2"</v>
      </c>
      <c r="J7" s="2436"/>
      <c r="K7" s="2436"/>
      <c r="L7" s="2436"/>
      <c r="M7" s="2436"/>
      <c r="N7" s="2018"/>
      <c r="O7" s="2018"/>
      <c r="P7" s="2018"/>
      <c r="Q7" s="2018"/>
      <c r="R7" s="2018"/>
      <c r="AP7" s="1554">
        <v>24</v>
      </c>
    </row>
    <row r="8" spans="1:42" ht="11.45" customHeight="1">
      <c r="I8" s="1059"/>
      <c r="J8" s="1059"/>
      <c r="K8" s="1059"/>
      <c r="L8" s="1059"/>
      <c r="M8" s="1059"/>
      <c r="N8" s="1060" t="s">
        <v>22</v>
      </c>
      <c r="O8" s="1060" t="s">
        <v>22</v>
      </c>
      <c r="P8" s="1060" t="s">
        <v>22</v>
      </c>
      <c r="Q8" s="1060" t="s">
        <v>22</v>
      </c>
      <c r="R8" s="1060" t="s">
        <v>22</v>
      </c>
      <c r="AP8" s="1554">
        <v>11</v>
      </c>
    </row>
    <row r="9" spans="1:42" s="1565" customFormat="1" ht="30" hidden="1" customHeight="1">
      <c r="A9" s="1090"/>
      <c r="B9" s="1090"/>
      <c r="C9" s="1090"/>
      <c r="E9" s="1090"/>
      <c r="L9" s="817"/>
      <c r="M9" s="817" t="s">
        <v>129</v>
      </c>
      <c r="N9" s="817" t="s">
        <v>135</v>
      </c>
      <c r="O9" s="817" t="s">
        <v>137</v>
      </c>
      <c r="P9" s="817" t="s">
        <v>140</v>
      </c>
      <c r="Q9" s="817" t="s">
        <v>139</v>
      </c>
      <c r="R9" s="817" t="s">
        <v>133</v>
      </c>
      <c r="AP9" s="1559">
        <v>1</v>
      </c>
    </row>
    <row r="10" spans="1:42" ht="11.45" customHeight="1">
      <c r="E10" s="1964" t="s">
        <v>766</v>
      </c>
      <c r="I10" s="647"/>
      <c r="J10" s="2591" t="s">
        <v>119</v>
      </c>
      <c r="K10" s="2592"/>
      <c r="L10" s="1943" t="str">
        <f t="shared" ref="L10:R10" si="0">IF(L9="","",INDEX(DIFFERENTIATION_UNMERGE_VD,MATCH(L9,DIFFERENTIATION_ID_DIFF,0)))</f>
        <v/>
      </c>
      <c r="M10" s="1943" t="str">
        <f t="shared" si="0"/>
        <v>Производство тепловой энергии. Комбинированная выработка с уст. мощностью производства электрической энергии 25 МВт и более</v>
      </c>
      <c r="N10" s="2030" t="str">
        <f t="shared" si="0"/>
        <v>Производство тепловой энергии. Некомбинированная выработка</v>
      </c>
      <c r="O10" s="2030" t="str">
        <f t="shared" si="0"/>
        <v>Передача. Тепловая энергия; Сбыт. Тепловая энергия</v>
      </c>
      <c r="P10" s="2030" t="str">
        <f t="shared" si="0"/>
        <v>Производство. Теплоноситель; Сбыт. Теплоноситель</v>
      </c>
      <c r="Q10" s="2030" t="str">
        <f t="shared" si="0"/>
        <v>Передача. Тепловая энергия; Сбыт. Тепловая энергия</v>
      </c>
      <c r="R10" s="2030" t="str">
        <f t="shared" si="0"/>
        <v>Производство тепловой энергии. Комбинированная выработка с уст. мощностью производства электрической энергии 25 МВт и более</v>
      </c>
      <c r="T10" s="2371" t="s">
        <v>320</v>
      </c>
      <c r="AP10" s="1554">
        <v>11</v>
      </c>
    </row>
    <row r="11" spans="1:42" ht="11.45" customHeight="1">
      <c r="E11" s="1964" t="s">
        <v>767</v>
      </c>
      <c r="I11" s="647"/>
      <c r="J11" s="2591" t="s">
        <v>581</v>
      </c>
      <c r="K11" s="2592"/>
      <c r="L11" s="1943" t="str">
        <f t="shared" ref="L11:R11" si="1">IF(L9="","",INDEX(DIFFERENTIATION_UNMERGE_AREA,MATCH(L9,DIFFERENTIATION_ID_DIFF,0)))</f>
        <v/>
      </c>
      <c r="M11" s="1943" t="str">
        <f t="shared" si="1"/>
        <v>Территория 1</v>
      </c>
      <c r="N11" s="2030" t="str">
        <f t="shared" si="1"/>
        <v>Территория 1</v>
      </c>
      <c r="O11" s="2030" t="str">
        <f t="shared" si="1"/>
        <v>Территория 1</v>
      </c>
      <c r="P11" s="2030" t="str">
        <f t="shared" si="1"/>
        <v>Территория 2</v>
      </c>
      <c r="Q11" s="2030" t="str">
        <f t="shared" si="1"/>
        <v>Территория 2</v>
      </c>
      <c r="R11" s="2030" t="str">
        <f t="shared" si="1"/>
        <v>Территория 2</v>
      </c>
      <c r="T11" s="2371"/>
      <c r="AP11" s="1554">
        <v>11</v>
      </c>
    </row>
    <row r="12" spans="1:42" ht="11.45" customHeight="1">
      <c r="E12" s="1964" t="s">
        <v>768</v>
      </c>
      <c r="I12" s="1585"/>
      <c r="J12" s="2591" t="s">
        <v>582</v>
      </c>
      <c r="K12" s="2592"/>
      <c r="L12" s="1943" t="str">
        <f t="shared" ref="L12:R12" si="2">IF(L9="","",INDEX(DIFFERENTIATION_UNMERGE_SYSTEM,MATCH(L9,DIFFERENTIATION_ID_DIFF,0)))</f>
        <v/>
      </c>
      <c r="M12" s="1943" t="str">
        <f t="shared" si="2"/>
        <v>без дифференциации</v>
      </c>
      <c r="N12" s="2030" t="str">
        <f t="shared" si="2"/>
        <v>без дифференциации</v>
      </c>
      <c r="O12" s="2030" t="str">
        <f t="shared" si="2"/>
        <v>без дифференциации</v>
      </c>
      <c r="P12" s="2030" t="str">
        <f t="shared" si="2"/>
        <v>без дифференциации</v>
      </c>
      <c r="Q12" s="2030" t="str">
        <f t="shared" si="2"/>
        <v>без дифференциации</v>
      </c>
      <c r="R12" s="2030" t="str">
        <f t="shared" si="2"/>
        <v>без дифференциации</v>
      </c>
      <c r="T12" s="2371"/>
      <c r="AP12" s="1554">
        <v>11</v>
      </c>
    </row>
    <row r="13" spans="1:42" ht="11.45" customHeight="1">
      <c r="E13" s="1964" t="s">
        <v>769</v>
      </c>
      <c r="F13" s="1964" t="s">
        <v>770</v>
      </c>
      <c r="I13" s="2593" t="s">
        <v>319</v>
      </c>
      <c r="J13" s="2594"/>
      <c r="K13" s="2594"/>
      <c r="L13" s="1941"/>
      <c r="M13" s="1981"/>
      <c r="N13" s="2027"/>
      <c r="O13" s="2027"/>
      <c r="P13" s="2027"/>
      <c r="Q13" s="2027"/>
      <c r="R13" s="2027"/>
      <c r="T13" s="2371"/>
      <c r="AP13" s="1554">
        <v>11</v>
      </c>
    </row>
    <row r="14" spans="1:42" ht="24" customHeight="1">
      <c r="I14" s="1934" t="s">
        <v>89</v>
      </c>
      <c r="J14" s="1934" t="s">
        <v>321</v>
      </c>
      <c r="K14" s="1934" t="s">
        <v>583</v>
      </c>
      <c r="L14" s="1974" t="s">
        <v>322</v>
      </c>
      <c r="M14" s="1975" t="s">
        <v>322</v>
      </c>
      <c r="N14" s="2020" t="s">
        <v>322</v>
      </c>
      <c r="O14" s="2020" t="s">
        <v>322</v>
      </c>
      <c r="P14" s="2020" t="s">
        <v>322</v>
      </c>
      <c r="Q14" s="2020" t="s">
        <v>322</v>
      </c>
      <c r="R14" s="2020" t="s">
        <v>322</v>
      </c>
      <c r="T14" s="2371"/>
      <c r="AP14" s="1554">
        <v>23</v>
      </c>
    </row>
    <row r="15" spans="1:42" ht="24" customHeight="1">
      <c r="A15" s="1968"/>
      <c r="B15" s="1967" t="s">
        <v>771</v>
      </c>
      <c r="C15" s="1967" t="s">
        <v>772</v>
      </c>
      <c r="D15" s="1966" t="s">
        <v>773</v>
      </c>
      <c r="E15" s="1970" t="s">
        <v>774</v>
      </c>
      <c r="F15" s="1970" t="s">
        <v>774</v>
      </c>
      <c r="G15" s="1559" t="s">
        <v>607</v>
      </c>
      <c r="H15" s="1935"/>
      <c r="I15" s="1553">
        <v>1</v>
      </c>
      <c r="J15" s="1936" t="s">
        <v>775</v>
      </c>
      <c r="K15" s="1934" t="s">
        <v>325</v>
      </c>
      <c r="L15" s="598"/>
      <c r="M15" s="747"/>
      <c r="N15" s="598"/>
      <c r="O15" s="598"/>
      <c r="P15" s="598"/>
      <c r="Q15" s="598"/>
      <c r="R15" s="598"/>
      <c r="S15" s="479" t="s">
        <v>776</v>
      </c>
      <c r="T15" s="1448" t="s">
        <v>777</v>
      </c>
      <c r="U15" s="479" t="s">
        <v>776</v>
      </c>
      <c r="AP15" s="1554">
        <v>23</v>
      </c>
    </row>
    <row r="16" spans="1:42" ht="35.65" customHeight="1">
      <c r="A16" s="1968"/>
      <c r="B16" s="1967" t="s">
        <v>778</v>
      </c>
      <c r="C16" s="1967" t="s">
        <v>779</v>
      </c>
      <c r="D16" s="1966" t="s">
        <v>763</v>
      </c>
      <c r="E16" s="1970" t="s">
        <v>774</v>
      </c>
      <c r="F16" s="1970" t="s">
        <v>774</v>
      </c>
      <c r="H16" s="1935"/>
      <c r="I16" s="1552">
        <v>2</v>
      </c>
      <c r="J16" s="1977" t="s">
        <v>780</v>
      </c>
      <c r="K16" s="1976" t="s">
        <v>573</v>
      </c>
      <c r="L16" s="1982"/>
      <c r="M16" s="1598"/>
      <c r="N16" s="1982"/>
      <c r="O16" s="1982"/>
      <c r="P16" s="1982"/>
      <c r="Q16" s="1982"/>
      <c r="R16" s="1982"/>
      <c r="S16" s="479" t="s">
        <v>776</v>
      </c>
      <c r="T16" s="1448" t="s">
        <v>781</v>
      </c>
      <c r="U16" s="479" t="s">
        <v>776</v>
      </c>
      <c r="AP16" s="1554">
        <v>34</v>
      </c>
    </row>
    <row r="17" spans="1:42" s="1565" customFormat="1" ht="17.25" hidden="1" customHeight="1">
      <c r="A17" s="1090"/>
      <c r="B17" s="1090"/>
      <c r="C17" s="1090"/>
      <c r="D17" s="1090"/>
      <c r="E17" s="1090"/>
      <c r="H17" s="1247"/>
      <c r="I17" s="940" t="s">
        <v>782</v>
      </c>
      <c r="J17" s="918"/>
      <c r="K17" s="940"/>
      <c r="L17" s="919"/>
      <c r="M17" s="919"/>
      <c r="N17" s="919"/>
      <c r="O17" s="919"/>
      <c r="P17" s="919"/>
      <c r="Q17" s="919"/>
      <c r="R17" s="919"/>
      <c r="T17" s="1308"/>
      <c r="AP17" s="1559">
        <v>1</v>
      </c>
    </row>
    <row r="18" spans="1:42" s="1289" customFormat="1" ht="24" customHeight="1">
      <c r="A18" s="914"/>
      <c r="B18" s="914"/>
      <c r="C18" s="914"/>
      <c r="D18" s="914"/>
      <c r="E18" s="914"/>
      <c r="G18" s="1559"/>
      <c r="H18" s="1556"/>
      <c r="I18" s="506"/>
      <c r="J18" s="507" t="s">
        <v>621</v>
      </c>
      <c r="K18" s="508"/>
      <c r="L18" s="1984"/>
      <c r="M18" s="509"/>
      <c r="N18" s="2089"/>
      <c r="O18" s="2090"/>
      <c r="P18" s="2091"/>
      <c r="Q18" s="2092"/>
      <c r="R18" s="2093"/>
      <c r="S18" s="479"/>
      <c r="T18" s="1448" t="s">
        <v>622</v>
      </c>
      <c r="U18" s="479"/>
      <c r="V18" s="1559"/>
      <c r="W18" s="1559"/>
      <c r="AB18" s="1559"/>
      <c r="AE18" s="480"/>
      <c r="AK18" s="1555"/>
      <c r="AL18" s="1555"/>
      <c r="AM18" s="1555"/>
      <c r="AN18" s="1555"/>
      <c r="AO18" s="1555"/>
      <c r="AP18" s="1289">
        <v>23</v>
      </c>
    </row>
    <row r="19" spans="1:42" ht="19.899999999999999" customHeight="1">
      <c r="A19" s="1968"/>
      <c r="B19" s="1967" t="s">
        <v>783</v>
      </c>
      <c r="C19" s="1967" t="s">
        <v>784</v>
      </c>
      <c r="D19" s="1966" t="s">
        <v>763</v>
      </c>
      <c r="E19" s="1970" t="s">
        <v>774</v>
      </c>
      <c r="F19" s="1970" t="s">
        <v>774</v>
      </c>
      <c r="H19" s="1935"/>
      <c r="I19" s="1587">
        <v>3</v>
      </c>
      <c r="J19" s="1936" t="s">
        <v>784</v>
      </c>
      <c r="K19" s="1932" t="s">
        <v>573</v>
      </c>
      <c r="L19" s="663"/>
      <c r="M19" s="493"/>
      <c r="N19" s="663"/>
      <c r="O19" s="663"/>
      <c r="P19" s="663"/>
      <c r="Q19" s="663"/>
      <c r="R19" s="663"/>
      <c r="S19" s="479"/>
      <c r="T19" s="1448" t="s">
        <v>785</v>
      </c>
      <c r="U19" s="479"/>
      <c r="AP19" s="1554">
        <v>19</v>
      </c>
    </row>
    <row r="20" spans="1:42" ht="77.650000000000006" customHeight="1">
      <c r="A20" s="1968"/>
      <c r="B20" s="1967" t="s">
        <v>786</v>
      </c>
      <c r="C20" s="1967" t="s">
        <v>787</v>
      </c>
      <c r="D20" s="1966" t="s">
        <v>763</v>
      </c>
      <c r="E20" s="1970" t="s">
        <v>774</v>
      </c>
      <c r="F20" s="1970" t="s">
        <v>774</v>
      </c>
      <c r="H20" s="1935"/>
      <c r="I20" s="1587">
        <v>4</v>
      </c>
      <c r="J20" s="1936" t="s">
        <v>788</v>
      </c>
      <c r="K20" s="1932" t="s">
        <v>612</v>
      </c>
      <c r="L20" s="663"/>
      <c r="M20" s="493"/>
      <c r="N20" s="663"/>
      <c r="O20" s="663"/>
      <c r="P20" s="663"/>
      <c r="Q20" s="663"/>
      <c r="R20" s="663"/>
      <c r="S20" s="479"/>
      <c r="T20" s="1448"/>
      <c r="U20" s="479"/>
      <c r="AP20" s="1554">
        <v>74</v>
      </c>
    </row>
    <row r="21" spans="1:42" ht="35.65" customHeight="1">
      <c r="A21" s="1968"/>
      <c r="B21" s="1967" t="s">
        <v>789</v>
      </c>
      <c r="C21" s="1967" t="s">
        <v>790</v>
      </c>
      <c r="D21" s="1966" t="s">
        <v>763</v>
      </c>
      <c r="E21" s="1970" t="s">
        <v>774</v>
      </c>
      <c r="F21" s="1970" t="s">
        <v>774</v>
      </c>
      <c r="H21" s="1935"/>
      <c r="I21" s="1587">
        <v>5</v>
      </c>
      <c r="J21" s="1936" t="s">
        <v>791</v>
      </c>
      <c r="K21" s="1932" t="s">
        <v>612</v>
      </c>
      <c r="L21" s="663"/>
      <c r="M21" s="493"/>
      <c r="N21" s="663"/>
      <c r="O21" s="663"/>
      <c r="P21" s="663"/>
      <c r="Q21" s="663"/>
      <c r="R21" s="663"/>
      <c r="S21" s="479"/>
      <c r="T21" s="1448" t="s">
        <v>785</v>
      </c>
      <c r="U21" s="479"/>
      <c r="AP21" s="1554">
        <v>34</v>
      </c>
    </row>
    <row r="22" spans="1:42" ht="48.2" customHeight="1">
      <c r="A22" s="1968"/>
      <c r="B22" s="1967" t="s">
        <v>792</v>
      </c>
      <c r="C22" s="1967" t="s">
        <v>793</v>
      </c>
      <c r="D22" s="1966" t="s">
        <v>763</v>
      </c>
      <c r="E22" s="1970" t="s">
        <v>774</v>
      </c>
      <c r="F22" s="1970" t="s">
        <v>774</v>
      </c>
      <c r="H22" s="1935"/>
      <c r="I22" s="1587">
        <v>6</v>
      </c>
      <c r="J22" s="1936" t="s">
        <v>794</v>
      </c>
      <c r="K22" s="1932" t="s">
        <v>612</v>
      </c>
      <c r="L22" s="663"/>
      <c r="M22" s="493"/>
      <c r="N22" s="663"/>
      <c r="O22" s="663"/>
      <c r="P22" s="663"/>
      <c r="Q22" s="663"/>
      <c r="R22" s="663"/>
      <c r="S22" s="479"/>
      <c r="T22" s="1448" t="s">
        <v>795</v>
      </c>
      <c r="U22" s="479"/>
      <c r="AP22" s="1554">
        <v>46</v>
      </c>
    </row>
    <row r="23" spans="1:42" ht="19.899999999999999" customHeight="1">
      <c r="A23" s="1968"/>
      <c r="B23" s="1967" t="s">
        <v>796</v>
      </c>
      <c r="C23" s="1967" t="s">
        <v>797</v>
      </c>
      <c r="D23" s="1966" t="s">
        <v>763</v>
      </c>
      <c r="E23" s="1970" t="s">
        <v>774</v>
      </c>
      <c r="F23" s="1970" t="s">
        <v>774</v>
      </c>
      <c r="H23" s="1935"/>
      <c r="I23" s="1587" t="s">
        <v>798</v>
      </c>
      <c r="J23" s="1447" t="s">
        <v>799</v>
      </c>
      <c r="K23" s="1932" t="s">
        <v>612</v>
      </c>
      <c r="L23" s="663"/>
      <c r="M23" s="493"/>
      <c r="N23" s="663"/>
      <c r="O23" s="663"/>
      <c r="P23" s="663"/>
      <c r="Q23" s="663"/>
      <c r="R23" s="663"/>
      <c r="S23" s="479"/>
      <c r="T23" s="1448" t="s">
        <v>785</v>
      </c>
      <c r="U23" s="479"/>
      <c r="AP23" s="1554">
        <v>19</v>
      </c>
    </row>
    <row r="24" spans="1:42" ht="19.899999999999999" customHeight="1">
      <c r="A24" s="1968"/>
      <c r="B24" s="1967" t="s">
        <v>800</v>
      </c>
      <c r="C24" s="1967" t="s">
        <v>801</v>
      </c>
      <c r="D24" s="1966" t="s">
        <v>763</v>
      </c>
      <c r="E24" s="1970" t="s">
        <v>774</v>
      </c>
      <c r="F24" s="1970" t="s">
        <v>774</v>
      </c>
      <c r="H24" s="1935"/>
      <c r="I24" s="1587" t="s">
        <v>802</v>
      </c>
      <c r="J24" s="1447" t="s">
        <v>803</v>
      </c>
      <c r="K24" s="1932" t="s">
        <v>612</v>
      </c>
      <c r="L24" s="663"/>
      <c r="M24" s="493"/>
      <c r="N24" s="663"/>
      <c r="O24" s="663"/>
      <c r="P24" s="663"/>
      <c r="Q24" s="663"/>
      <c r="R24" s="663"/>
      <c r="S24" s="479"/>
      <c r="T24" s="1448"/>
      <c r="U24" s="479"/>
      <c r="AP24" s="1554">
        <v>19</v>
      </c>
    </row>
    <row r="25" spans="1:42" ht="24" customHeight="1">
      <c r="A25" s="1968"/>
      <c r="B25" s="1967" t="s">
        <v>804</v>
      </c>
      <c r="C25" s="1967" t="s">
        <v>805</v>
      </c>
      <c r="D25" s="1966" t="s">
        <v>763</v>
      </c>
      <c r="E25" s="1970" t="s">
        <v>774</v>
      </c>
      <c r="F25" s="1970" t="s">
        <v>774</v>
      </c>
      <c r="H25" s="1935"/>
      <c r="I25" s="1587" t="s">
        <v>806</v>
      </c>
      <c r="J25" s="1447" t="s">
        <v>807</v>
      </c>
      <c r="K25" s="1932" t="s">
        <v>612</v>
      </c>
      <c r="L25" s="663"/>
      <c r="M25" s="493"/>
      <c r="N25" s="663"/>
      <c r="O25" s="663"/>
      <c r="P25" s="663"/>
      <c r="Q25" s="663"/>
      <c r="R25" s="663"/>
      <c r="S25" s="479"/>
      <c r="T25" s="1448"/>
      <c r="U25" s="479"/>
      <c r="AP25" s="1554">
        <v>23</v>
      </c>
    </row>
    <row r="26" spans="1:42" ht="24" customHeight="1">
      <c r="A26" s="1968"/>
      <c r="B26" s="1967" t="s">
        <v>808</v>
      </c>
      <c r="C26" s="1967" t="s">
        <v>809</v>
      </c>
      <c r="D26" s="1966" t="s">
        <v>763</v>
      </c>
      <c r="E26" s="1970" t="s">
        <v>774</v>
      </c>
      <c r="F26" s="1970" t="s">
        <v>774</v>
      </c>
      <c r="H26" s="1935"/>
      <c r="I26" s="1587">
        <v>7</v>
      </c>
      <c r="J26" s="1936" t="s">
        <v>809</v>
      </c>
      <c r="K26" s="1932" t="s">
        <v>810</v>
      </c>
      <c r="L26" s="663"/>
      <c r="M26" s="493"/>
      <c r="N26" s="663"/>
      <c r="O26" s="663"/>
      <c r="P26" s="663"/>
      <c r="Q26" s="663"/>
      <c r="R26" s="663"/>
      <c r="S26" s="479"/>
      <c r="T26" s="1448"/>
      <c r="U26" s="479"/>
      <c r="AP26" s="1554">
        <v>23</v>
      </c>
    </row>
    <row r="27" spans="1:42" ht="24" customHeight="1">
      <c r="A27" s="1968"/>
      <c r="B27" s="1967" t="s">
        <v>811</v>
      </c>
      <c r="C27" s="1967" t="s">
        <v>812</v>
      </c>
      <c r="D27" s="1966" t="s">
        <v>763</v>
      </c>
      <c r="E27" s="1970" t="s">
        <v>774</v>
      </c>
      <c r="F27" s="1970" t="s">
        <v>774</v>
      </c>
      <c r="H27" s="1935"/>
      <c r="I27" s="1587">
        <v>8</v>
      </c>
      <c r="J27" s="1936" t="s">
        <v>812</v>
      </c>
      <c r="K27" s="1932" t="s">
        <v>623</v>
      </c>
      <c r="L27" s="663"/>
      <c r="M27" s="493"/>
      <c r="N27" s="663"/>
      <c r="O27" s="663"/>
      <c r="P27" s="663"/>
      <c r="Q27" s="663"/>
      <c r="R27" s="663"/>
      <c r="S27" s="479"/>
      <c r="T27" s="1448"/>
      <c r="U27" s="479"/>
      <c r="AP27" s="1554">
        <v>23</v>
      </c>
    </row>
    <row r="28" spans="1:42" ht="35.65" customHeight="1">
      <c r="A28" s="1968"/>
      <c r="B28" s="1967" t="s">
        <v>813</v>
      </c>
      <c r="C28" s="1967" t="s">
        <v>814</v>
      </c>
      <c r="D28" s="1966" t="s">
        <v>763</v>
      </c>
      <c r="E28" s="1970" t="s">
        <v>774</v>
      </c>
      <c r="F28" s="1970" t="s">
        <v>774</v>
      </c>
      <c r="H28" s="1935"/>
      <c r="I28" s="1597">
        <v>9</v>
      </c>
      <c r="J28" s="1936" t="s">
        <v>815</v>
      </c>
      <c r="K28" s="1932" t="s">
        <v>577</v>
      </c>
      <c r="L28" s="663"/>
      <c r="M28" s="493"/>
      <c r="N28" s="663"/>
      <c r="O28" s="663"/>
      <c r="P28" s="663"/>
      <c r="Q28" s="663"/>
      <c r="R28" s="663"/>
      <c r="S28" s="479"/>
      <c r="T28" s="1448"/>
      <c r="U28" s="479"/>
      <c r="AP28" s="1554">
        <v>34</v>
      </c>
    </row>
    <row r="29" spans="1:42" ht="35.65" customHeight="1">
      <c r="A29" s="1968"/>
      <c r="B29" s="1967" t="s">
        <v>816</v>
      </c>
      <c r="C29" s="1967" t="s">
        <v>817</v>
      </c>
      <c r="D29" s="1966" t="s">
        <v>763</v>
      </c>
      <c r="E29" s="1970" t="s">
        <v>774</v>
      </c>
      <c r="F29" s="1970" t="s">
        <v>774</v>
      </c>
      <c r="H29" s="1935"/>
      <c r="I29" s="1597">
        <v>10</v>
      </c>
      <c r="J29" s="1936" t="s">
        <v>818</v>
      </c>
      <c r="K29" s="1932" t="s">
        <v>577</v>
      </c>
      <c r="L29" s="663"/>
      <c r="M29" s="493"/>
      <c r="N29" s="663"/>
      <c r="O29" s="663"/>
      <c r="P29" s="663"/>
      <c r="Q29" s="663"/>
      <c r="R29" s="663"/>
      <c r="S29" s="479"/>
      <c r="T29" s="1448"/>
      <c r="U29" s="479"/>
      <c r="AP29" s="1554">
        <v>34</v>
      </c>
    </row>
    <row r="30" spans="1:42" ht="24" customHeight="1">
      <c r="A30" s="1968"/>
      <c r="B30" s="1967" t="s">
        <v>819</v>
      </c>
      <c r="C30" s="1967" t="s">
        <v>820</v>
      </c>
      <c r="D30" s="1966" t="s">
        <v>763</v>
      </c>
      <c r="E30" s="1970" t="s">
        <v>774</v>
      </c>
      <c r="F30" s="1970" t="s">
        <v>774</v>
      </c>
      <c r="H30" s="1935"/>
      <c r="I30" s="1597">
        <v>11</v>
      </c>
      <c r="J30" s="1936" t="s">
        <v>820</v>
      </c>
      <c r="K30" s="1932" t="s">
        <v>624</v>
      </c>
      <c r="L30" s="1983"/>
      <c r="M30" s="1544"/>
      <c r="N30" s="1983"/>
      <c r="O30" s="1983"/>
      <c r="P30" s="1983"/>
      <c r="Q30" s="1983"/>
      <c r="R30" s="1983"/>
      <c r="S30" s="479"/>
      <c r="T30" s="1448"/>
      <c r="U30" s="479"/>
      <c r="AP30" s="1554">
        <v>23</v>
      </c>
    </row>
    <row r="31" spans="1:42" ht="24" customHeight="1">
      <c r="A31" s="1968"/>
      <c r="B31" s="1967" t="s">
        <v>821</v>
      </c>
      <c r="C31" s="1967" t="s">
        <v>822</v>
      </c>
      <c r="D31" s="1966" t="s">
        <v>763</v>
      </c>
      <c r="E31" s="1970" t="s">
        <v>774</v>
      </c>
      <c r="F31" s="1970" t="s">
        <v>774</v>
      </c>
      <c r="H31" s="1935"/>
      <c r="I31" s="1597">
        <v>12</v>
      </c>
      <c r="J31" s="1936" t="s">
        <v>822</v>
      </c>
      <c r="K31" s="1932" t="s">
        <v>624</v>
      </c>
      <c r="L31" s="1983"/>
      <c r="M31" s="1544"/>
      <c r="N31" s="1983"/>
      <c r="O31" s="1983"/>
      <c r="P31" s="1983"/>
      <c r="Q31" s="1983"/>
      <c r="R31" s="1983"/>
      <c r="S31" s="479"/>
      <c r="T31" s="1448"/>
      <c r="U31" s="479"/>
      <c r="AP31" s="1554">
        <v>23</v>
      </c>
    </row>
    <row r="32" spans="1:42" ht="48.2" customHeight="1">
      <c r="A32" s="1968"/>
      <c r="B32" s="1967" t="s">
        <v>823</v>
      </c>
      <c r="C32" s="1967" t="s">
        <v>824</v>
      </c>
      <c r="D32" s="1966" t="s">
        <v>763</v>
      </c>
      <c r="E32" s="1970" t="s">
        <v>774</v>
      </c>
      <c r="F32" s="1970" t="s">
        <v>774</v>
      </c>
      <c r="H32" s="1935"/>
      <c r="I32" s="1597">
        <v>13</v>
      </c>
      <c r="J32" s="1936" t="s">
        <v>825</v>
      </c>
      <c r="K32" s="1932" t="s">
        <v>634</v>
      </c>
      <c r="L32" s="663"/>
      <c r="M32" s="493"/>
      <c r="N32" s="663"/>
      <c r="O32" s="663"/>
      <c r="P32" s="663"/>
      <c r="Q32" s="663"/>
      <c r="R32" s="663"/>
      <c r="S32" s="479"/>
      <c r="T32" s="1448" t="s">
        <v>785</v>
      </c>
      <c r="U32" s="479"/>
      <c r="AP32" s="1554">
        <v>46</v>
      </c>
    </row>
    <row r="33" spans="1:42" s="1289" customFormat="1" ht="48.2" customHeight="1">
      <c r="A33" s="1968"/>
      <c r="B33" s="1967" t="s">
        <v>826</v>
      </c>
      <c r="C33" s="1967" t="s">
        <v>827</v>
      </c>
      <c r="D33" s="1966" t="s">
        <v>763</v>
      </c>
      <c r="E33" s="1970" t="s">
        <v>774</v>
      </c>
      <c r="F33" s="1970" t="s">
        <v>774</v>
      </c>
      <c r="G33" s="1559"/>
      <c r="H33" s="1935"/>
      <c r="I33" s="1597">
        <v>14</v>
      </c>
      <c r="J33" s="1948" t="s">
        <v>828</v>
      </c>
      <c r="K33" s="1937" t="s">
        <v>829</v>
      </c>
      <c r="L33" s="663"/>
      <c r="M33" s="493"/>
      <c r="N33" s="663"/>
      <c r="O33" s="663"/>
      <c r="P33" s="663"/>
      <c r="Q33" s="663"/>
      <c r="R33" s="663"/>
      <c r="S33" s="479"/>
      <c r="T33" s="1448" t="s">
        <v>785</v>
      </c>
      <c r="U33" s="479"/>
      <c r="V33" s="1559"/>
      <c r="W33" s="1559"/>
      <c r="AB33" s="1559"/>
      <c r="AE33" s="480"/>
      <c r="AK33" s="1555"/>
      <c r="AL33" s="1555"/>
      <c r="AM33" s="1555"/>
      <c r="AN33" s="1555"/>
      <c r="AO33" s="1555"/>
      <c r="AP33" s="1289">
        <v>46</v>
      </c>
    </row>
    <row r="34" spans="1:42" ht="108" customHeight="1">
      <c r="A34" s="1968"/>
      <c r="B34" s="1967" t="s">
        <v>830</v>
      </c>
      <c r="C34" s="1967" t="s">
        <v>831</v>
      </c>
      <c r="D34" s="1966" t="s">
        <v>773</v>
      </c>
      <c r="E34" s="1970" t="s">
        <v>774</v>
      </c>
      <c r="F34" s="1970" t="s">
        <v>774</v>
      </c>
      <c r="G34" s="1559" t="s">
        <v>607</v>
      </c>
      <c r="H34" s="1935"/>
      <c r="I34" s="1946">
        <v>15</v>
      </c>
      <c r="J34" s="1947" t="s">
        <v>832</v>
      </c>
      <c r="K34" s="1932" t="s">
        <v>325</v>
      </c>
      <c r="L34" s="321"/>
      <c r="M34" s="1087"/>
      <c r="N34" s="321"/>
      <c r="O34" s="321"/>
      <c r="P34" s="321"/>
      <c r="Q34" s="321"/>
      <c r="R34" s="321"/>
      <c r="S34" s="479"/>
      <c r="T34" s="1448" t="s">
        <v>777</v>
      </c>
      <c r="U34" s="479"/>
      <c r="AP34" s="1554">
        <v>103</v>
      </c>
    </row>
    <row r="35" spans="1:42" s="1564" customFormat="1" ht="11.45" customHeight="1">
      <c r="A35" s="914"/>
      <c r="B35" s="914"/>
      <c r="C35" s="914"/>
      <c r="D35" s="914"/>
      <c r="E35" s="914"/>
      <c r="F35" s="1559"/>
      <c r="G35" s="1559"/>
      <c r="H35" s="287"/>
      <c r="S35" s="1289"/>
      <c r="U35" s="1289"/>
      <c r="V35" s="1559"/>
      <c r="W35" s="1559"/>
      <c r="X35" s="1289"/>
      <c r="Y35" s="1289"/>
      <c r="Z35" s="1289"/>
      <c r="AA35" s="1289"/>
      <c r="AB35" s="1559"/>
      <c r="AC35" s="1289"/>
      <c r="AD35" s="1289"/>
      <c r="AE35" s="480"/>
      <c r="AF35" s="1289"/>
      <c r="AG35" s="1289"/>
      <c r="AH35" s="1289"/>
      <c r="AI35" s="1289"/>
      <c r="AJ35" s="1289"/>
      <c r="AK35" s="1555"/>
      <c r="AL35" s="558"/>
      <c r="AM35" s="558"/>
      <c r="AN35" s="558"/>
      <c r="AO35" s="558"/>
      <c r="AP35" s="1564">
        <v>11</v>
      </c>
    </row>
    <row r="36" spans="1:42" s="1564" customFormat="1" ht="11.45" customHeight="1">
      <c r="A36" s="914"/>
      <c r="B36" s="914"/>
      <c r="C36" s="914"/>
      <c r="D36" s="914"/>
      <c r="E36" s="914"/>
      <c r="F36" s="1559"/>
      <c r="G36" s="1559"/>
      <c r="H36" s="287"/>
      <c r="S36" s="1289"/>
      <c r="U36" s="1289"/>
      <c r="V36" s="1559"/>
      <c r="W36" s="1559"/>
      <c r="X36" s="1289"/>
      <c r="Y36" s="1289"/>
      <c r="Z36" s="1289"/>
      <c r="AA36" s="1289"/>
      <c r="AB36" s="1559"/>
      <c r="AC36" s="1289"/>
      <c r="AD36" s="1289"/>
      <c r="AE36" s="480"/>
      <c r="AF36" s="1289"/>
      <c r="AG36" s="1289"/>
      <c r="AH36" s="1289"/>
      <c r="AI36" s="1289"/>
      <c r="AJ36" s="1289"/>
      <c r="AK36" s="1555"/>
      <c r="AL36" s="558"/>
      <c r="AM36" s="558"/>
      <c r="AN36" s="558"/>
      <c r="AO36" s="558"/>
      <c r="AP36" s="1564">
        <v>11</v>
      </c>
    </row>
    <row r="37" spans="1:42" s="1564" customFormat="1" ht="11.45" customHeight="1">
      <c r="A37" s="914"/>
      <c r="B37" s="914"/>
      <c r="C37" s="914"/>
      <c r="D37" s="914"/>
      <c r="E37" s="914"/>
      <c r="F37" s="1559"/>
      <c r="G37" s="1559"/>
      <c r="H37" s="287"/>
      <c r="L37" s="558"/>
      <c r="M37" s="558"/>
      <c r="N37" s="558"/>
      <c r="O37" s="558"/>
      <c r="P37" s="558"/>
      <c r="Q37" s="558"/>
      <c r="R37" s="558"/>
      <c r="S37" s="1289"/>
      <c r="U37" s="1289"/>
      <c r="V37" s="1559"/>
      <c r="W37" s="1559"/>
      <c r="X37" s="1289"/>
      <c r="Y37" s="1289"/>
      <c r="Z37" s="1289"/>
      <c r="AA37" s="1289"/>
      <c r="AB37" s="1559"/>
      <c r="AC37" s="1289"/>
      <c r="AD37" s="1289"/>
      <c r="AE37" s="480"/>
      <c r="AF37" s="1289"/>
      <c r="AG37" s="1289"/>
      <c r="AH37" s="1289"/>
      <c r="AI37" s="1289"/>
      <c r="AJ37" s="1289"/>
      <c r="AK37" s="1555"/>
      <c r="AL37" s="558"/>
      <c r="AM37" s="558"/>
      <c r="AN37" s="558"/>
      <c r="AO37" s="558"/>
      <c r="AP37" s="1564">
        <v>11</v>
      </c>
    </row>
    <row r="38" spans="1:42" s="1564" customFormat="1" ht="11.45" customHeight="1">
      <c r="A38" s="914"/>
      <c r="B38" s="914"/>
      <c r="C38" s="914"/>
      <c r="D38" s="914"/>
      <c r="E38" s="914"/>
      <c r="F38" s="1559"/>
      <c r="G38" s="1559"/>
      <c r="H38" s="287"/>
      <c r="S38" s="1289"/>
      <c r="U38" s="1289"/>
      <c r="V38" s="1559"/>
      <c r="W38" s="1559"/>
      <c r="X38" s="1289"/>
      <c r="Y38" s="1289"/>
      <c r="Z38" s="1289"/>
      <c r="AA38" s="1289"/>
      <c r="AB38" s="1559"/>
      <c r="AC38" s="1289"/>
      <c r="AD38" s="1289"/>
      <c r="AE38" s="480"/>
      <c r="AF38" s="1289"/>
      <c r="AG38" s="1289"/>
      <c r="AH38" s="1289"/>
      <c r="AI38" s="1289"/>
      <c r="AJ38" s="1289"/>
      <c r="AK38" s="1555"/>
      <c r="AL38" s="558"/>
      <c r="AM38" s="558"/>
      <c r="AN38" s="558"/>
      <c r="AO38" s="558"/>
      <c r="AP38" s="1564">
        <v>11</v>
      </c>
    </row>
    <row r="39" spans="1:42" s="1564" customFormat="1" ht="11.45" customHeight="1">
      <c r="A39" s="914"/>
      <c r="B39" s="914"/>
      <c r="C39" s="914"/>
      <c r="D39" s="914"/>
      <c r="E39" s="914"/>
      <c r="F39" s="1559"/>
      <c r="G39" s="1559"/>
      <c r="H39" s="287"/>
      <c r="S39" s="1289"/>
      <c r="U39" s="1289"/>
      <c r="V39" s="1559"/>
      <c r="W39" s="1559"/>
      <c r="X39" s="1289"/>
      <c r="Y39" s="1289"/>
      <c r="Z39" s="1289"/>
      <c r="AA39" s="1289"/>
      <c r="AB39" s="1559"/>
      <c r="AC39" s="1289"/>
      <c r="AD39" s="1289"/>
      <c r="AE39" s="480"/>
      <c r="AF39" s="1289"/>
      <c r="AG39" s="1289"/>
      <c r="AH39" s="1289"/>
      <c r="AI39" s="1289"/>
      <c r="AJ39" s="1289"/>
      <c r="AK39" s="1555"/>
      <c r="AL39" s="558"/>
      <c r="AM39" s="558"/>
      <c r="AN39" s="558"/>
      <c r="AO39" s="558"/>
      <c r="AP39" s="1564">
        <v>11</v>
      </c>
    </row>
    <row r="40" spans="1:42" s="1564" customFormat="1" ht="11.45" customHeight="1">
      <c r="A40" s="914"/>
      <c r="B40" s="914"/>
      <c r="C40" s="914"/>
      <c r="D40" s="914"/>
      <c r="E40" s="914"/>
      <c r="F40" s="1559"/>
      <c r="G40" s="1559"/>
      <c r="H40" s="287"/>
      <c r="S40" s="1289"/>
      <c r="U40" s="1289"/>
      <c r="V40" s="1559"/>
      <c r="W40" s="1559"/>
      <c r="X40" s="1289"/>
      <c r="Y40" s="1289"/>
      <c r="Z40" s="1289"/>
      <c r="AA40" s="1289"/>
      <c r="AB40" s="1559"/>
      <c r="AC40" s="1289"/>
      <c r="AD40" s="1289"/>
      <c r="AE40" s="480"/>
      <c r="AF40" s="1289"/>
      <c r="AG40" s="1289"/>
      <c r="AH40" s="1289"/>
      <c r="AI40" s="1289"/>
      <c r="AJ40" s="1289"/>
      <c r="AK40" s="1555"/>
      <c r="AL40" s="558"/>
      <c r="AM40" s="558"/>
      <c r="AN40" s="558"/>
      <c r="AO40" s="558"/>
      <c r="AP40" s="1564">
        <v>11</v>
      </c>
    </row>
    <row r="41" spans="1:42" s="1564" customFormat="1" ht="11.45" customHeight="1">
      <c r="A41" s="914"/>
      <c r="B41" s="914"/>
      <c r="C41" s="914"/>
      <c r="D41" s="914"/>
      <c r="E41" s="914"/>
      <c r="F41" s="1559"/>
      <c r="G41" s="1559"/>
      <c r="H41" s="287"/>
      <c r="S41" s="1289"/>
      <c r="U41" s="1289"/>
      <c r="V41" s="1559"/>
      <c r="W41" s="1559"/>
      <c r="X41" s="1289"/>
      <c r="Y41" s="1289"/>
      <c r="Z41" s="1289"/>
      <c r="AA41" s="1289"/>
      <c r="AB41" s="1559"/>
      <c r="AC41" s="1289"/>
      <c r="AD41" s="1289"/>
      <c r="AE41" s="480"/>
      <c r="AF41" s="1289"/>
      <c r="AG41" s="1289"/>
      <c r="AH41" s="1289"/>
      <c r="AI41" s="1289"/>
      <c r="AJ41" s="1289"/>
      <c r="AK41" s="1555"/>
      <c r="AL41" s="558"/>
      <c r="AM41" s="558"/>
      <c r="AN41" s="558"/>
      <c r="AO41" s="558"/>
      <c r="AP41" s="1564">
        <v>11</v>
      </c>
    </row>
    <row r="42" spans="1:42" s="1564" customFormat="1" ht="11.45" customHeight="1">
      <c r="A42" s="914"/>
      <c r="B42" s="914"/>
      <c r="C42" s="914"/>
      <c r="D42" s="914"/>
      <c r="E42" s="914"/>
      <c r="F42" s="1559"/>
      <c r="G42" s="1559"/>
      <c r="H42" s="287"/>
      <c r="S42" s="1289"/>
      <c r="U42" s="1289"/>
      <c r="V42" s="1559"/>
      <c r="W42" s="1559"/>
      <c r="X42" s="1289"/>
      <c r="Y42" s="1289"/>
      <c r="Z42" s="1289"/>
      <c r="AA42" s="1289"/>
      <c r="AB42" s="1559"/>
      <c r="AC42" s="1289"/>
      <c r="AD42" s="1289"/>
      <c r="AE42" s="480"/>
      <c r="AF42" s="1289"/>
      <c r="AG42" s="1289"/>
      <c r="AH42" s="1289"/>
      <c r="AI42" s="1289"/>
      <c r="AJ42" s="1289"/>
      <c r="AK42" s="1555"/>
      <c r="AL42" s="558"/>
      <c r="AM42" s="558"/>
      <c r="AN42" s="558"/>
      <c r="AO42" s="558"/>
      <c r="AP42" s="1564">
        <v>11</v>
      </c>
    </row>
    <row r="43" spans="1:42" s="1564" customFormat="1" ht="11.45" customHeight="1">
      <c r="A43" s="914"/>
      <c r="B43" s="914"/>
      <c r="C43" s="914"/>
      <c r="D43" s="914"/>
      <c r="E43" s="914"/>
      <c r="F43" s="1559"/>
      <c r="G43" s="1559"/>
      <c r="H43" s="287"/>
      <c r="S43" s="1289"/>
      <c r="U43" s="1289"/>
      <c r="V43" s="1559"/>
      <c r="W43" s="1559"/>
      <c r="X43" s="1289"/>
      <c r="Y43" s="1289"/>
      <c r="Z43" s="1289"/>
      <c r="AA43" s="1289"/>
      <c r="AB43" s="1559"/>
      <c r="AC43" s="1289"/>
      <c r="AD43" s="1289"/>
      <c r="AE43" s="480"/>
      <c r="AF43" s="1289"/>
      <c r="AG43" s="1289"/>
      <c r="AH43" s="1289"/>
      <c r="AI43" s="1289"/>
      <c r="AJ43" s="1289"/>
      <c r="AK43" s="1555"/>
      <c r="AL43" s="558"/>
      <c r="AM43" s="558"/>
      <c r="AN43" s="558"/>
      <c r="AO43" s="558"/>
      <c r="AP43" s="1564">
        <v>11</v>
      </c>
    </row>
    <row r="44" spans="1:42" s="1564" customFormat="1" ht="11.45" customHeight="1">
      <c r="A44" s="914"/>
      <c r="B44" s="914"/>
      <c r="C44" s="914"/>
      <c r="D44" s="914"/>
      <c r="E44" s="914"/>
      <c r="F44" s="1559"/>
      <c r="G44" s="1559"/>
      <c r="H44" s="287"/>
      <c r="S44" s="1289"/>
      <c r="U44" s="1289"/>
      <c r="V44" s="1559"/>
      <c r="W44" s="1559"/>
      <c r="X44" s="1289"/>
      <c r="Y44" s="1289"/>
      <c r="Z44" s="1289"/>
      <c r="AA44" s="1289"/>
      <c r="AB44" s="1559"/>
      <c r="AC44" s="1289"/>
      <c r="AD44" s="1289"/>
      <c r="AE44" s="480"/>
      <c r="AF44" s="1289"/>
      <c r="AG44" s="1289"/>
      <c r="AH44" s="1289"/>
      <c r="AI44" s="1289"/>
      <c r="AJ44" s="1289"/>
      <c r="AK44" s="1555"/>
      <c r="AL44" s="558"/>
      <c r="AM44" s="558"/>
      <c r="AN44" s="558"/>
      <c r="AO44" s="558"/>
      <c r="AP44" s="1564">
        <v>11</v>
      </c>
    </row>
    <row r="45" spans="1:42" s="1564" customFormat="1" ht="11.45" customHeight="1">
      <c r="A45" s="914"/>
      <c r="B45" s="914"/>
      <c r="C45" s="914"/>
      <c r="D45" s="914"/>
      <c r="E45" s="914"/>
      <c r="F45" s="1559"/>
      <c r="G45" s="1559"/>
      <c r="H45" s="287"/>
      <c r="S45" s="1289"/>
      <c r="U45" s="1289"/>
      <c r="V45" s="1559"/>
      <c r="W45" s="1559"/>
      <c r="X45" s="1289"/>
      <c r="Y45" s="1289"/>
      <c r="Z45" s="1289"/>
      <c r="AA45" s="1289"/>
      <c r="AB45" s="1559"/>
      <c r="AC45" s="1289"/>
      <c r="AD45" s="1289"/>
      <c r="AE45" s="480"/>
      <c r="AF45" s="1289"/>
      <c r="AG45" s="1289"/>
      <c r="AH45" s="1289"/>
      <c r="AI45" s="1289"/>
      <c r="AJ45" s="1289"/>
      <c r="AK45" s="1555"/>
      <c r="AL45" s="558"/>
      <c r="AM45" s="558"/>
      <c r="AN45" s="558"/>
      <c r="AO45" s="558"/>
      <c r="AP45" s="1564">
        <v>11</v>
      </c>
    </row>
    <row r="46" spans="1:42" s="1564" customFormat="1" ht="11.45" customHeight="1">
      <c r="A46" s="914"/>
      <c r="B46" s="914"/>
      <c r="C46" s="914"/>
      <c r="D46" s="914"/>
      <c r="E46" s="914"/>
      <c r="F46" s="1559"/>
      <c r="G46" s="1559"/>
      <c r="H46" s="287"/>
      <c r="S46" s="1289"/>
      <c r="U46" s="1289"/>
      <c r="V46" s="1559"/>
      <c r="W46" s="1559"/>
      <c r="X46" s="1289"/>
      <c r="Y46" s="1289"/>
      <c r="Z46" s="1289"/>
      <c r="AA46" s="1289"/>
      <c r="AB46" s="1559"/>
      <c r="AC46" s="1289"/>
      <c r="AD46" s="1289"/>
      <c r="AE46" s="480"/>
      <c r="AF46" s="1289"/>
      <c r="AG46" s="1289"/>
      <c r="AH46" s="1289"/>
      <c r="AI46" s="1289"/>
      <c r="AJ46" s="1289"/>
      <c r="AK46" s="1555"/>
      <c r="AL46" s="558"/>
      <c r="AM46" s="558"/>
      <c r="AN46" s="558"/>
      <c r="AO46" s="558"/>
      <c r="AP46" s="1564">
        <v>11</v>
      </c>
    </row>
    <row r="47" spans="1:42" s="1564" customFormat="1" ht="11.45" customHeight="1">
      <c r="A47" s="914"/>
      <c r="B47" s="914"/>
      <c r="C47" s="914"/>
      <c r="D47" s="914"/>
      <c r="E47" s="914"/>
      <c r="F47" s="1559"/>
      <c r="G47" s="1559"/>
      <c r="H47" s="287"/>
      <c r="S47" s="1289"/>
      <c r="U47" s="1289"/>
      <c r="V47" s="1559"/>
      <c r="W47" s="1559"/>
      <c r="X47" s="1289"/>
      <c r="Y47" s="1289"/>
      <c r="Z47" s="1289"/>
      <c r="AA47" s="1289"/>
      <c r="AB47" s="1559"/>
      <c r="AC47" s="1289"/>
      <c r="AD47" s="1289"/>
      <c r="AE47" s="480"/>
      <c r="AF47" s="1289"/>
      <c r="AG47" s="1289"/>
      <c r="AH47" s="1289"/>
      <c r="AI47" s="1289"/>
      <c r="AJ47" s="1289"/>
      <c r="AK47" s="1555"/>
      <c r="AL47" s="558"/>
      <c r="AM47" s="558"/>
      <c r="AN47" s="558"/>
      <c r="AO47" s="558"/>
      <c r="AP47" s="1564">
        <v>11</v>
      </c>
    </row>
    <row r="48" spans="1:42" s="1564" customFormat="1" ht="11.45" customHeight="1">
      <c r="A48" s="914"/>
      <c r="B48" s="914"/>
      <c r="C48" s="914"/>
      <c r="D48" s="914"/>
      <c r="E48" s="914"/>
      <c r="F48" s="1559"/>
      <c r="G48" s="1559"/>
      <c r="H48" s="287"/>
      <c r="S48" s="1289"/>
      <c r="U48" s="1289"/>
      <c r="V48" s="1559"/>
      <c r="W48" s="1559"/>
      <c r="X48" s="1289"/>
      <c r="Y48" s="1289"/>
      <c r="Z48" s="1289"/>
      <c r="AA48" s="1289"/>
      <c r="AB48" s="1559"/>
      <c r="AC48" s="1289"/>
      <c r="AD48" s="1289"/>
      <c r="AE48" s="480"/>
      <c r="AF48" s="1289"/>
      <c r="AG48" s="1289"/>
      <c r="AH48" s="1289"/>
      <c r="AI48" s="1289"/>
      <c r="AJ48" s="1289"/>
      <c r="AK48" s="1555"/>
      <c r="AL48" s="558"/>
      <c r="AM48" s="558"/>
      <c r="AN48" s="558"/>
      <c r="AO48" s="558"/>
      <c r="AP48" s="1564">
        <v>11</v>
      </c>
    </row>
    <row r="49" spans="1:42" s="1564" customFormat="1" ht="11.45" customHeight="1">
      <c r="A49" s="914"/>
      <c r="B49" s="914"/>
      <c r="C49" s="914"/>
      <c r="D49" s="914"/>
      <c r="E49" s="914"/>
      <c r="F49" s="1559"/>
      <c r="G49" s="1559"/>
      <c r="H49" s="287"/>
      <c r="S49" s="1289"/>
      <c r="U49" s="1289"/>
      <c r="V49" s="1559"/>
      <c r="W49" s="1559"/>
      <c r="X49" s="1289"/>
      <c r="Y49" s="1289"/>
      <c r="Z49" s="1289"/>
      <c r="AA49" s="1289"/>
      <c r="AB49" s="1559"/>
      <c r="AC49" s="1289"/>
      <c r="AD49" s="1289"/>
      <c r="AE49" s="480"/>
      <c r="AF49" s="1289"/>
      <c r="AG49" s="1289"/>
      <c r="AH49" s="1289"/>
      <c r="AI49" s="1289"/>
      <c r="AJ49" s="1289"/>
      <c r="AK49" s="1555"/>
      <c r="AL49" s="558"/>
      <c r="AM49" s="558"/>
      <c r="AN49" s="558"/>
      <c r="AO49" s="558"/>
      <c r="AP49" s="1564">
        <v>11</v>
      </c>
    </row>
    <row r="50" spans="1:42" s="1564" customFormat="1" ht="11.45" customHeight="1">
      <c r="A50" s="914"/>
      <c r="B50" s="914"/>
      <c r="C50" s="914"/>
      <c r="D50" s="914"/>
      <c r="E50" s="914"/>
      <c r="F50" s="1559"/>
      <c r="G50" s="1559"/>
      <c r="H50" s="287"/>
      <c r="S50" s="1289"/>
      <c r="U50" s="1289"/>
      <c r="V50" s="1559"/>
      <c r="W50" s="1559"/>
      <c r="X50" s="1289"/>
      <c r="Y50" s="1289"/>
      <c r="Z50" s="1289"/>
      <c r="AA50" s="1289"/>
      <c r="AB50" s="1559"/>
      <c r="AC50" s="1289"/>
      <c r="AD50" s="1289"/>
      <c r="AE50" s="480"/>
      <c r="AF50" s="1289"/>
      <c r="AG50" s="1289"/>
      <c r="AH50" s="1289"/>
      <c r="AI50" s="1289"/>
      <c r="AJ50" s="1289"/>
      <c r="AK50" s="1555"/>
      <c r="AL50" s="558"/>
      <c r="AM50" s="558"/>
      <c r="AN50" s="558"/>
      <c r="AO50" s="558"/>
      <c r="AP50" s="1564">
        <v>11</v>
      </c>
    </row>
    <row r="51" spans="1:42" s="1564" customFormat="1" ht="11.45" customHeight="1">
      <c r="A51" s="914"/>
      <c r="B51" s="914"/>
      <c r="C51" s="914"/>
      <c r="D51" s="914"/>
      <c r="E51" s="914"/>
      <c r="F51" s="1559"/>
      <c r="G51" s="1559"/>
      <c r="H51" s="287"/>
      <c r="S51" s="1289"/>
      <c r="U51" s="1289"/>
      <c r="V51" s="1559"/>
      <c r="W51" s="1559"/>
      <c r="X51" s="1289"/>
      <c r="Y51" s="1289"/>
      <c r="Z51" s="1289"/>
      <c r="AA51" s="1289"/>
      <c r="AB51" s="1559"/>
      <c r="AC51" s="1289"/>
      <c r="AD51" s="1289"/>
      <c r="AE51" s="480"/>
      <c r="AF51" s="1289"/>
      <c r="AG51" s="1289"/>
      <c r="AH51" s="1289"/>
      <c r="AI51" s="1289"/>
      <c r="AJ51" s="1289"/>
      <c r="AK51" s="1555"/>
      <c r="AL51" s="558"/>
      <c r="AM51" s="558"/>
      <c r="AN51" s="558"/>
      <c r="AO51" s="558"/>
      <c r="AP51" s="1564">
        <v>11</v>
      </c>
    </row>
    <row r="52" spans="1:42" s="1564" customFormat="1" ht="11.45" customHeight="1">
      <c r="A52" s="914"/>
      <c r="B52" s="914"/>
      <c r="C52" s="914"/>
      <c r="D52" s="914"/>
      <c r="E52" s="914"/>
      <c r="F52" s="1559"/>
      <c r="G52" s="1559"/>
      <c r="H52" s="287"/>
      <c r="S52" s="1289"/>
      <c r="U52" s="1289"/>
      <c r="V52" s="1559"/>
      <c r="W52" s="1559"/>
      <c r="X52" s="1289"/>
      <c r="Y52" s="1289"/>
      <c r="Z52" s="1289"/>
      <c r="AA52" s="1289"/>
      <c r="AB52" s="1559"/>
      <c r="AC52" s="1289"/>
      <c r="AD52" s="1289"/>
      <c r="AE52" s="480"/>
      <c r="AF52" s="1289"/>
      <c r="AG52" s="1289"/>
      <c r="AH52" s="1289"/>
      <c r="AI52" s="1289"/>
      <c r="AJ52" s="1289"/>
      <c r="AK52" s="1555"/>
      <c r="AL52" s="558"/>
      <c r="AM52" s="558"/>
      <c r="AN52" s="558"/>
      <c r="AO52" s="558"/>
      <c r="AP52" s="1564">
        <v>11</v>
      </c>
    </row>
    <row r="53" spans="1:42" s="1564" customFormat="1" ht="11.45" customHeight="1">
      <c r="A53" s="914"/>
      <c r="B53" s="914"/>
      <c r="C53" s="914"/>
      <c r="D53" s="914"/>
      <c r="E53" s="914"/>
      <c r="F53" s="1559"/>
      <c r="G53" s="1559"/>
      <c r="H53" s="287"/>
      <c r="S53" s="1289"/>
      <c r="U53" s="1289"/>
      <c r="V53" s="1559"/>
      <c r="W53" s="1559"/>
      <c r="X53" s="1289"/>
      <c r="Y53" s="1289"/>
      <c r="Z53" s="1289"/>
      <c r="AA53" s="1289"/>
      <c r="AB53" s="1559"/>
      <c r="AC53" s="1289"/>
      <c r="AD53" s="1289"/>
      <c r="AE53" s="480"/>
      <c r="AF53" s="1289"/>
      <c r="AG53" s="1289"/>
      <c r="AH53" s="1289"/>
      <c r="AI53" s="1289"/>
      <c r="AJ53" s="1289"/>
      <c r="AK53" s="1555"/>
      <c r="AL53" s="558"/>
      <c r="AM53" s="558"/>
      <c r="AN53" s="558"/>
      <c r="AO53" s="558"/>
      <c r="AP53" s="1564">
        <v>11</v>
      </c>
    </row>
    <row r="54" spans="1:42" s="1564" customFormat="1" ht="11.45" customHeight="1">
      <c r="A54" s="914"/>
      <c r="B54" s="914"/>
      <c r="C54" s="914"/>
      <c r="D54" s="914"/>
      <c r="E54" s="914"/>
      <c r="F54" s="1559"/>
      <c r="G54" s="1559"/>
      <c r="H54" s="287"/>
      <c r="S54" s="1289"/>
      <c r="U54" s="1289"/>
      <c r="V54" s="1559"/>
      <c r="W54" s="1559"/>
      <c r="X54" s="1289"/>
      <c r="Y54" s="1289"/>
      <c r="Z54" s="1289"/>
      <c r="AA54" s="1289"/>
      <c r="AB54" s="1559"/>
      <c r="AC54" s="1289"/>
      <c r="AD54" s="1289"/>
      <c r="AE54" s="480"/>
      <c r="AF54" s="1289"/>
      <c r="AG54" s="1289"/>
      <c r="AH54" s="1289"/>
      <c r="AI54" s="1289"/>
      <c r="AJ54" s="1289"/>
      <c r="AK54" s="1555"/>
      <c r="AL54" s="558"/>
      <c r="AM54" s="558"/>
      <c r="AN54" s="558"/>
      <c r="AO54" s="558"/>
      <c r="AP54" s="1564">
        <v>11</v>
      </c>
    </row>
    <row r="55" spans="1:42" s="1564" customFormat="1" ht="11.45" customHeight="1">
      <c r="A55" s="914"/>
      <c r="B55" s="914"/>
      <c r="C55" s="914"/>
      <c r="D55" s="914"/>
      <c r="E55" s="914"/>
      <c r="F55" s="1559"/>
      <c r="G55" s="1559"/>
      <c r="H55" s="287"/>
      <c r="S55" s="1289"/>
      <c r="U55" s="1289"/>
      <c r="V55" s="1559"/>
      <c r="W55" s="1559"/>
      <c r="X55" s="1289"/>
      <c r="Y55" s="1289"/>
      <c r="Z55" s="1289"/>
      <c r="AA55" s="1289"/>
      <c r="AB55" s="1559"/>
      <c r="AC55" s="1289"/>
      <c r="AD55" s="1289"/>
      <c r="AE55" s="480"/>
      <c r="AF55" s="1289"/>
      <c r="AG55" s="1289"/>
      <c r="AH55" s="1289"/>
      <c r="AI55" s="1289"/>
      <c r="AJ55" s="1289"/>
      <c r="AK55" s="1555"/>
      <c r="AL55" s="558"/>
      <c r="AM55" s="558"/>
      <c r="AN55" s="558"/>
      <c r="AO55" s="558"/>
      <c r="AP55" s="1564">
        <v>11</v>
      </c>
    </row>
    <row r="56" spans="1:42" s="1564" customFormat="1" ht="11.45" customHeight="1">
      <c r="A56" s="914"/>
      <c r="B56" s="914"/>
      <c r="C56" s="914"/>
      <c r="D56" s="914"/>
      <c r="E56" s="914"/>
      <c r="F56" s="1559"/>
      <c r="G56" s="1559"/>
      <c r="H56" s="287"/>
      <c r="S56" s="1289"/>
      <c r="U56" s="1289"/>
      <c r="V56" s="1559"/>
      <c r="W56" s="1559"/>
      <c r="X56" s="1289"/>
      <c r="Y56" s="1289"/>
      <c r="Z56" s="1289"/>
      <c r="AA56" s="1289"/>
      <c r="AB56" s="1559"/>
      <c r="AC56" s="1289"/>
      <c r="AD56" s="1289"/>
      <c r="AE56" s="480"/>
      <c r="AF56" s="1289"/>
      <c r="AG56" s="1289"/>
      <c r="AH56" s="1289"/>
      <c r="AI56" s="1289"/>
      <c r="AJ56" s="1289"/>
      <c r="AK56" s="1555"/>
      <c r="AL56" s="558"/>
      <c r="AM56" s="558"/>
      <c r="AN56" s="558"/>
      <c r="AO56" s="558"/>
      <c r="AP56" s="1564">
        <v>11</v>
      </c>
    </row>
    <row r="57" spans="1:42" s="1564" customFormat="1" ht="11.45" customHeight="1">
      <c r="A57" s="914"/>
      <c r="B57" s="914"/>
      <c r="C57" s="914"/>
      <c r="D57" s="914"/>
      <c r="E57" s="914"/>
      <c r="F57" s="1559"/>
      <c r="G57" s="1559"/>
      <c r="H57" s="287"/>
      <c r="S57" s="1289"/>
      <c r="U57" s="1289"/>
      <c r="V57" s="1559"/>
      <c r="W57" s="1559"/>
      <c r="X57" s="1289"/>
      <c r="Y57" s="1289"/>
      <c r="Z57" s="1289"/>
      <c r="AA57" s="1289"/>
      <c r="AB57" s="1559"/>
      <c r="AC57" s="1289"/>
      <c r="AD57" s="1289"/>
      <c r="AE57" s="480"/>
      <c r="AF57" s="1289"/>
      <c r="AG57" s="1289"/>
      <c r="AH57" s="1289"/>
      <c r="AI57" s="1289"/>
      <c r="AJ57" s="1289"/>
      <c r="AK57" s="1555"/>
      <c r="AL57" s="558"/>
      <c r="AM57" s="558"/>
      <c r="AN57" s="558"/>
      <c r="AO57" s="558"/>
      <c r="AP57" s="1564">
        <v>11</v>
      </c>
    </row>
    <row r="58" spans="1:42" s="1564" customFormat="1" ht="11.45" customHeight="1">
      <c r="A58" s="914"/>
      <c r="B58" s="914"/>
      <c r="C58" s="914"/>
      <c r="D58" s="914"/>
      <c r="E58" s="914"/>
      <c r="F58" s="1559"/>
      <c r="G58" s="1559"/>
      <c r="H58" s="287"/>
      <c r="S58" s="1289"/>
      <c r="U58" s="1289"/>
      <c r="V58" s="1559"/>
      <c r="W58" s="1559"/>
      <c r="X58" s="1289"/>
      <c r="Y58" s="1289"/>
      <c r="Z58" s="1289"/>
      <c r="AA58" s="1289"/>
      <c r="AB58" s="1559"/>
      <c r="AC58" s="1289"/>
      <c r="AD58" s="1289"/>
      <c r="AE58" s="480"/>
      <c r="AF58" s="1289"/>
      <c r="AG58" s="1289"/>
      <c r="AH58" s="1289"/>
      <c r="AI58" s="1289"/>
      <c r="AJ58" s="1289"/>
      <c r="AK58" s="1555"/>
      <c r="AL58" s="558"/>
      <c r="AM58" s="558"/>
      <c r="AN58" s="558"/>
      <c r="AO58" s="558"/>
      <c r="AP58" s="1564">
        <v>11</v>
      </c>
    </row>
    <row r="59" spans="1:42" s="1564" customFormat="1" ht="11.45" customHeight="1">
      <c r="A59" s="914"/>
      <c r="B59" s="914"/>
      <c r="C59" s="914"/>
      <c r="D59" s="914"/>
      <c r="E59" s="914"/>
      <c r="F59" s="1559"/>
      <c r="G59" s="1559"/>
      <c r="H59" s="287"/>
      <c r="S59" s="1289"/>
      <c r="U59" s="1289"/>
      <c r="V59" s="1559"/>
      <c r="W59" s="1559"/>
      <c r="X59" s="1289"/>
      <c r="Y59" s="1289"/>
      <c r="Z59" s="1289"/>
      <c r="AA59" s="1289"/>
      <c r="AB59" s="1559"/>
      <c r="AC59" s="1289"/>
      <c r="AD59" s="1289"/>
      <c r="AE59" s="480"/>
      <c r="AF59" s="1289"/>
      <c r="AG59" s="1289"/>
      <c r="AH59" s="1289"/>
      <c r="AI59" s="1289"/>
      <c r="AJ59" s="1289"/>
      <c r="AK59" s="1555"/>
      <c r="AL59" s="558"/>
      <c r="AM59" s="558"/>
      <c r="AN59" s="558"/>
      <c r="AO59" s="558"/>
      <c r="AP59" s="1564">
        <v>11</v>
      </c>
    </row>
    <row r="60" spans="1:42" s="1564" customFormat="1" ht="11.45" customHeight="1">
      <c r="A60" s="914"/>
      <c r="B60" s="914"/>
      <c r="C60" s="914"/>
      <c r="D60" s="914"/>
      <c r="E60" s="914"/>
      <c r="F60" s="1559"/>
      <c r="G60" s="1559"/>
      <c r="H60" s="287"/>
      <c r="S60" s="1289"/>
      <c r="U60" s="1289"/>
      <c r="V60" s="1559"/>
      <c r="W60" s="1559"/>
      <c r="X60" s="1289"/>
      <c r="Y60" s="1289"/>
      <c r="Z60" s="1289"/>
      <c r="AA60" s="1289"/>
      <c r="AB60" s="1559"/>
      <c r="AC60" s="1289"/>
      <c r="AD60" s="1289"/>
      <c r="AE60" s="480"/>
      <c r="AF60" s="1289"/>
      <c r="AG60" s="1289"/>
      <c r="AH60" s="1289"/>
      <c r="AI60" s="1289"/>
      <c r="AJ60" s="1289"/>
      <c r="AK60" s="1555"/>
      <c r="AL60" s="558"/>
      <c r="AM60" s="558"/>
      <c r="AN60" s="558"/>
      <c r="AO60" s="558"/>
      <c r="AP60" s="1564">
        <v>11</v>
      </c>
    </row>
    <row r="61" spans="1:42" s="1564" customFormat="1" ht="11.45" customHeight="1">
      <c r="A61" s="914"/>
      <c r="B61" s="914"/>
      <c r="C61" s="914"/>
      <c r="D61" s="914"/>
      <c r="E61" s="914"/>
      <c r="F61" s="1559"/>
      <c r="G61" s="1559"/>
      <c r="H61" s="287"/>
      <c r="S61" s="1289"/>
      <c r="U61" s="1289"/>
      <c r="V61" s="1559"/>
      <c r="W61" s="1559"/>
      <c r="X61" s="1289"/>
      <c r="Y61" s="1289"/>
      <c r="Z61" s="1289"/>
      <c r="AA61" s="1289"/>
      <c r="AB61" s="1559"/>
      <c r="AC61" s="1289"/>
      <c r="AD61" s="1289"/>
      <c r="AE61" s="480"/>
      <c r="AF61" s="1289"/>
      <c r="AG61" s="1289"/>
      <c r="AH61" s="1289"/>
      <c r="AI61" s="1289"/>
      <c r="AJ61" s="1289"/>
      <c r="AK61" s="1555"/>
      <c r="AL61" s="558"/>
      <c r="AM61" s="558"/>
      <c r="AN61" s="558"/>
      <c r="AO61" s="558"/>
      <c r="AP61" s="1564">
        <v>11</v>
      </c>
    </row>
    <row r="62" spans="1:42" s="1564" customFormat="1" ht="11.45" customHeight="1">
      <c r="A62" s="914"/>
      <c r="B62" s="914"/>
      <c r="C62" s="914"/>
      <c r="D62" s="914"/>
      <c r="E62" s="914"/>
      <c r="F62" s="1559"/>
      <c r="G62" s="1559"/>
      <c r="H62" s="287"/>
      <c r="S62" s="1289"/>
      <c r="U62" s="1289"/>
      <c r="V62" s="1559"/>
      <c r="W62" s="1559"/>
      <c r="X62" s="1289"/>
      <c r="Y62" s="1289"/>
      <c r="Z62" s="1289"/>
      <c r="AA62" s="1289"/>
      <c r="AB62" s="1559"/>
      <c r="AC62" s="1289"/>
      <c r="AD62" s="1289"/>
      <c r="AE62" s="480"/>
      <c r="AF62" s="1289"/>
      <c r="AG62" s="1289"/>
      <c r="AH62" s="1289"/>
      <c r="AI62" s="1289"/>
      <c r="AJ62" s="1289"/>
      <c r="AK62" s="1555"/>
      <c r="AL62" s="558"/>
      <c r="AM62" s="558"/>
      <c r="AN62" s="558"/>
      <c r="AO62" s="558"/>
      <c r="AP62" s="1564">
        <v>11</v>
      </c>
    </row>
    <row r="63" spans="1:42" s="1564" customFormat="1" ht="11.45" customHeight="1">
      <c r="A63" s="914"/>
      <c r="B63" s="914"/>
      <c r="C63" s="914"/>
      <c r="D63" s="914"/>
      <c r="E63" s="914"/>
      <c r="F63" s="1559"/>
      <c r="G63" s="1559"/>
      <c r="H63" s="287"/>
      <c r="S63" s="1289"/>
      <c r="U63" s="1289"/>
      <c r="V63" s="1559"/>
      <c r="W63" s="1559"/>
      <c r="X63" s="1289"/>
      <c r="Y63" s="1289"/>
      <c r="Z63" s="1289"/>
      <c r="AA63" s="1289"/>
      <c r="AB63" s="1559"/>
      <c r="AC63" s="1289"/>
      <c r="AD63" s="1289"/>
      <c r="AE63" s="480"/>
      <c r="AF63" s="1289"/>
      <c r="AG63" s="1289"/>
      <c r="AH63" s="1289"/>
      <c r="AI63" s="1289"/>
      <c r="AJ63" s="1289"/>
      <c r="AK63" s="1555"/>
      <c r="AL63" s="558"/>
      <c r="AM63" s="558"/>
      <c r="AN63" s="558"/>
      <c r="AO63" s="558"/>
      <c r="AP63" s="1564">
        <v>11</v>
      </c>
    </row>
    <row r="64" spans="1:42" s="1564" customFormat="1" ht="11.45" customHeight="1">
      <c r="A64" s="914"/>
      <c r="B64" s="914"/>
      <c r="C64" s="914"/>
      <c r="D64" s="914"/>
      <c r="E64" s="914"/>
      <c r="F64" s="1559"/>
      <c r="G64" s="1559"/>
      <c r="H64" s="287"/>
      <c r="S64" s="1289"/>
      <c r="U64" s="1289"/>
      <c r="V64" s="1559"/>
      <c r="W64" s="1559"/>
      <c r="X64" s="1289"/>
      <c r="Y64" s="1289"/>
      <c r="Z64" s="1289"/>
      <c r="AA64" s="1289"/>
      <c r="AB64" s="1559"/>
      <c r="AC64" s="1289"/>
      <c r="AD64" s="1289"/>
      <c r="AE64" s="480"/>
      <c r="AF64" s="1289"/>
      <c r="AG64" s="1289"/>
      <c r="AH64" s="1289"/>
      <c r="AI64" s="1289"/>
      <c r="AJ64" s="1289"/>
      <c r="AK64" s="1555"/>
      <c r="AL64" s="558"/>
      <c r="AM64" s="558"/>
      <c r="AN64" s="558"/>
      <c r="AO64" s="558"/>
      <c r="AP64" s="1564">
        <v>11</v>
      </c>
    </row>
    <row r="65" spans="1:42" s="1564" customFormat="1" ht="11.45" customHeight="1">
      <c r="A65" s="914"/>
      <c r="B65" s="914"/>
      <c r="C65" s="914"/>
      <c r="D65" s="914"/>
      <c r="E65" s="914"/>
      <c r="F65" s="1559"/>
      <c r="G65" s="1559"/>
      <c r="H65" s="287"/>
      <c r="S65" s="1289"/>
      <c r="U65" s="1289"/>
      <c r="V65" s="1559"/>
      <c r="W65" s="1559"/>
      <c r="X65" s="1289"/>
      <c r="Y65" s="1289"/>
      <c r="Z65" s="1289"/>
      <c r="AA65" s="1289"/>
      <c r="AB65" s="1559"/>
      <c r="AC65" s="1289"/>
      <c r="AD65" s="1289"/>
      <c r="AE65" s="480"/>
      <c r="AF65" s="1289"/>
      <c r="AG65" s="1289"/>
      <c r="AH65" s="1289"/>
      <c r="AI65" s="1289"/>
      <c r="AJ65" s="1289"/>
      <c r="AK65" s="1555"/>
      <c r="AL65" s="558"/>
      <c r="AM65" s="558"/>
      <c r="AN65" s="558"/>
      <c r="AO65" s="558"/>
      <c r="AP65" s="1564">
        <v>11</v>
      </c>
    </row>
    <row r="66" spans="1:42" s="1564" customFormat="1" ht="11.45" customHeight="1">
      <c r="A66" s="914"/>
      <c r="B66" s="914"/>
      <c r="C66" s="914"/>
      <c r="D66" s="914"/>
      <c r="E66" s="914"/>
      <c r="F66" s="1559"/>
      <c r="G66" s="1559"/>
      <c r="H66" s="287"/>
      <c r="S66" s="1289"/>
      <c r="U66" s="1289"/>
      <c r="V66" s="1559"/>
      <c r="W66" s="1559"/>
      <c r="X66" s="1289"/>
      <c r="Y66" s="1289"/>
      <c r="Z66" s="1289"/>
      <c r="AA66" s="1289"/>
      <c r="AB66" s="1559"/>
      <c r="AC66" s="1289"/>
      <c r="AD66" s="1289"/>
      <c r="AE66" s="480"/>
      <c r="AF66" s="1289"/>
      <c r="AG66" s="1289"/>
      <c r="AH66" s="1289"/>
      <c r="AI66" s="1289"/>
      <c r="AJ66" s="1289"/>
      <c r="AK66" s="1555"/>
      <c r="AL66" s="558"/>
      <c r="AM66" s="558"/>
      <c r="AN66" s="558"/>
      <c r="AO66" s="558"/>
      <c r="AP66" s="1564">
        <v>11</v>
      </c>
    </row>
    <row r="67" spans="1:42" s="1564" customFormat="1" ht="11.45" customHeight="1">
      <c r="A67" s="914"/>
      <c r="B67" s="914"/>
      <c r="C67" s="914"/>
      <c r="D67" s="914"/>
      <c r="E67" s="914"/>
      <c r="F67" s="1559"/>
      <c r="G67" s="1559"/>
      <c r="H67" s="287"/>
      <c r="S67" s="1289"/>
      <c r="U67" s="1289"/>
      <c r="V67" s="1559"/>
      <c r="W67" s="1559"/>
      <c r="X67" s="1289"/>
      <c r="Y67" s="1289"/>
      <c r="Z67" s="1289"/>
      <c r="AA67" s="1289"/>
      <c r="AB67" s="1559"/>
      <c r="AC67" s="1289"/>
      <c r="AD67" s="1289"/>
      <c r="AE67" s="480"/>
      <c r="AF67" s="1289"/>
      <c r="AG67" s="1289"/>
      <c r="AH67" s="1289"/>
      <c r="AI67" s="1289"/>
      <c r="AJ67" s="1289"/>
      <c r="AK67" s="1555"/>
      <c r="AL67" s="558"/>
      <c r="AM67" s="558"/>
      <c r="AN67" s="558"/>
      <c r="AO67" s="558"/>
      <c r="AP67" s="1564">
        <v>11</v>
      </c>
    </row>
    <row r="68" spans="1:42" s="1564" customFormat="1" ht="11.45" customHeight="1">
      <c r="A68" s="914"/>
      <c r="B68" s="914"/>
      <c r="C68" s="914"/>
      <c r="D68" s="914"/>
      <c r="E68" s="914"/>
      <c r="F68" s="1559"/>
      <c r="G68" s="1559"/>
      <c r="H68" s="287"/>
      <c r="S68" s="1289"/>
      <c r="U68" s="1289"/>
      <c r="V68" s="1559"/>
      <c r="W68" s="1559"/>
      <c r="X68" s="1289"/>
      <c r="Y68" s="1289"/>
      <c r="Z68" s="1289"/>
      <c r="AA68" s="1289"/>
      <c r="AB68" s="1559"/>
      <c r="AC68" s="1289"/>
      <c r="AD68" s="1289"/>
      <c r="AE68" s="480"/>
      <c r="AF68" s="1289"/>
      <c r="AG68" s="1289"/>
      <c r="AH68" s="1289"/>
      <c r="AI68" s="1289"/>
      <c r="AJ68" s="1289"/>
      <c r="AK68" s="1555"/>
      <c r="AL68" s="558"/>
      <c r="AM68" s="558"/>
      <c r="AN68" s="558"/>
      <c r="AO68" s="558"/>
      <c r="AP68" s="1564">
        <v>11</v>
      </c>
    </row>
    <row r="69" spans="1:42" s="1564" customFormat="1" ht="11.45" customHeight="1">
      <c r="A69" s="914"/>
      <c r="B69" s="914"/>
      <c r="C69" s="914"/>
      <c r="D69" s="914"/>
      <c r="E69" s="914"/>
      <c r="F69" s="1559"/>
      <c r="G69" s="1559"/>
      <c r="H69" s="287"/>
      <c r="S69" s="1289"/>
      <c r="U69" s="1289"/>
      <c r="V69" s="1559"/>
      <c r="W69" s="1559"/>
      <c r="X69" s="1289"/>
      <c r="Y69" s="1289"/>
      <c r="Z69" s="1289"/>
      <c r="AA69" s="1289"/>
      <c r="AB69" s="1559"/>
      <c r="AC69" s="1289"/>
      <c r="AD69" s="1289"/>
      <c r="AE69" s="480"/>
      <c r="AF69" s="1289"/>
      <c r="AG69" s="1289"/>
      <c r="AH69" s="1289"/>
      <c r="AI69" s="1289"/>
      <c r="AJ69" s="1289"/>
      <c r="AK69" s="1555"/>
      <c r="AL69" s="558"/>
      <c r="AM69" s="558"/>
      <c r="AN69" s="558"/>
      <c r="AO69" s="558"/>
      <c r="AP69" s="1564">
        <v>11</v>
      </c>
    </row>
    <row r="70" spans="1:42" s="1564" customFormat="1" ht="11.45" customHeight="1">
      <c r="A70" s="914"/>
      <c r="B70" s="914"/>
      <c r="C70" s="914"/>
      <c r="D70" s="914"/>
      <c r="E70" s="914"/>
      <c r="F70" s="1559"/>
      <c r="G70" s="1559"/>
      <c r="H70" s="287"/>
      <c r="S70" s="1289"/>
      <c r="U70" s="1289"/>
      <c r="V70" s="1559"/>
      <c r="W70" s="1559"/>
      <c r="X70" s="1289"/>
      <c r="Y70" s="1289"/>
      <c r="Z70" s="1289"/>
      <c r="AA70" s="1289"/>
      <c r="AB70" s="1559"/>
      <c r="AC70" s="1289"/>
      <c r="AD70" s="1289"/>
      <c r="AE70" s="480"/>
      <c r="AF70" s="1289"/>
      <c r="AG70" s="1289"/>
      <c r="AH70" s="1289"/>
      <c r="AI70" s="1289"/>
      <c r="AJ70" s="1289"/>
      <c r="AK70" s="1555"/>
      <c r="AL70" s="558"/>
      <c r="AM70" s="558"/>
      <c r="AN70" s="558"/>
      <c r="AO70" s="558"/>
      <c r="AP70" s="1564">
        <v>11</v>
      </c>
    </row>
    <row r="71" spans="1:42" s="1564" customFormat="1" ht="11.45" customHeight="1">
      <c r="A71" s="914"/>
      <c r="B71" s="914"/>
      <c r="C71" s="914"/>
      <c r="D71" s="914"/>
      <c r="E71" s="914"/>
      <c r="F71" s="1559"/>
      <c r="G71" s="1559"/>
      <c r="H71" s="287"/>
      <c r="S71" s="1289"/>
      <c r="U71" s="1289"/>
      <c r="V71" s="1559"/>
      <c r="W71" s="1559"/>
      <c r="X71" s="1289"/>
      <c r="Y71" s="1289"/>
      <c r="Z71" s="1289"/>
      <c r="AA71" s="1289"/>
      <c r="AB71" s="1559"/>
      <c r="AC71" s="1289"/>
      <c r="AD71" s="1289"/>
      <c r="AE71" s="480"/>
      <c r="AF71" s="1289"/>
      <c r="AG71" s="1289"/>
      <c r="AH71" s="1289"/>
      <c r="AI71" s="1289"/>
      <c r="AJ71" s="1289"/>
      <c r="AK71" s="1555"/>
      <c r="AL71" s="558"/>
      <c r="AM71" s="558"/>
      <c r="AN71" s="558"/>
      <c r="AO71" s="558"/>
      <c r="AP71" s="1564">
        <v>11</v>
      </c>
    </row>
    <row r="72" spans="1:42" s="1564" customFormat="1" ht="11.45" customHeight="1">
      <c r="A72" s="914"/>
      <c r="B72" s="914"/>
      <c r="C72" s="914"/>
      <c r="D72" s="914"/>
      <c r="E72" s="914"/>
      <c r="F72" s="1559"/>
      <c r="G72" s="1559"/>
      <c r="H72" s="287"/>
      <c r="S72" s="1289"/>
      <c r="U72" s="1289"/>
      <c r="V72" s="1559"/>
      <c r="W72" s="1559"/>
      <c r="X72" s="1289"/>
      <c r="Y72" s="1289"/>
      <c r="Z72" s="1289"/>
      <c r="AA72" s="1289"/>
      <c r="AB72" s="1559"/>
      <c r="AC72" s="1289"/>
      <c r="AD72" s="1289"/>
      <c r="AE72" s="480"/>
      <c r="AF72" s="1289"/>
      <c r="AG72" s="1289"/>
      <c r="AH72" s="1289"/>
      <c r="AI72" s="1289"/>
      <c r="AJ72" s="1289"/>
      <c r="AK72" s="1555"/>
      <c r="AL72" s="558"/>
      <c r="AM72" s="558"/>
      <c r="AN72" s="558"/>
      <c r="AO72" s="558"/>
      <c r="AP72" s="1564">
        <v>11</v>
      </c>
    </row>
    <row r="73" spans="1:42" s="1564" customFormat="1" ht="11.45" customHeight="1">
      <c r="A73" s="914"/>
      <c r="B73" s="914"/>
      <c r="C73" s="914"/>
      <c r="D73" s="914"/>
      <c r="E73" s="914"/>
      <c r="F73" s="1559"/>
      <c r="G73" s="1559"/>
      <c r="H73" s="287"/>
      <c r="S73" s="1289"/>
      <c r="U73" s="1289"/>
      <c r="V73" s="1559"/>
      <c r="W73" s="1559"/>
      <c r="X73" s="1289"/>
      <c r="Y73" s="1289"/>
      <c r="Z73" s="1289"/>
      <c r="AA73" s="1289"/>
      <c r="AB73" s="1559"/>
      <c r="AC73" s="1289"/>
      <c r="AD73" s="1289"/>
      <c r="AE73" s="480"/>
      <c r="AF73" s="1289"/>
      <c r="AG73" s="1289"/>
      <c r="AH73" s="1289"/>
      <c r="AI73" s="1289"/>
      <c r="AJ73" s="1289"/>
      <c r="AK73" s="1555"/>
      <c r="AL73" s="558"/>
      <c r="AM73" s="558"/>
      <c r="AN73" s="558"/>
      <c r="AO73" s="558"/>
      <c r="AP73" s="1564">
        <v>11</v>
      </c>
    </row>
    <row r="74" spans="1:42" s="1564" customFormat="1" ht="11.45" customHeight="1">
      <c r="A74" s="914"/>
      <c r="B74" s="914"/>
      <c r="C74" s="914"/>
      <c r="D74" s="914"/>
      <c r="E74" s="914"/>
      <c r="F74" s="1559"/>
      <c r="G74" s="1559"/>
      <c r="H74" s="287"/>
      <c r="S74" s="1289"/>
      <c r="U74" s="1289"/>
      <c r="V74" s="1559"/>
      <c r="W74" s="1559"/>
      <c r="X74" s="1289"/>
      <c r="Y74" s="1289"/>
      <c r="Z74" s="1289"/>
      <c r="AA74" s="1289"/>
      <c r="AB74" s="1559"/>
      <c r="AC74" s="1289"/>
      <c r="AD74" s="1289"/>
      <c r="AE74" s="480"/>
      <c r="AF74" s="1289"/>
      <c r="AG74" s="1289"/>
      <c r="AH74" s="1289"/>
      <c r="AI74" s="1289"/>
      <c r="AJ74" s="1289"/>
      <c r="AK74" s="1555"/>
      <c r="AL74" s="558"/>
      <c r="AM74" s="558"/>
      <c r="AN74" s="558"/>
      <c r="AO74" s="558"/>
      <c r="AP74" s="1564">
        <v>11</v>
      </c>
    </row>
    <row r="75" spans="1:42" s="1564" customFormat="1" ht="11.45" customHeight="1">
      <c r="A75" s="914"/>
      <c r="B75" s="914"/>
      <c r="C75" s="914"/>
      <c r="D75" s="914"/>
      <c r="E75" s="914"/>
      <c r="F75" s="1559"/>
      <c r="G75" s="1559"/>
      <c r="H75" s="287"/>
      <c r="S75" s="1289"/>
      <c r="U75" s="1289"/>
      <c r="V75" s="1559"/>
      <c r="W75" s="1559"/>
      <c r="X75" s="1289"/>
      <c r="Y75" s="1289"/>
      <c r="Z75" s="1289"/>
      <c r="AA75" s="1289"/>
      <c r="AB75" s="1559"/>
      <c r="AC75" s="1289"/>
      <c r="AD75" s="1289"/>
      <c r="AE75" s="480"/>
      <c r="AF75" s="1289"/>
      <c r="AG75" s="1289"/>
      <c r="AH75" s="1289"/>
      <c r="AI75" s="1289"/>
      <c r="AJ75" s="1289"/>
      <c r="AK75" s="1555"/>
      <c r="AL75" s="558"/>
      <c r="AM75" s="558"/>
      <c r="AN75" s="558"/>
      <c r="AO75" s="558"/>
      <c r="AP75" s="1564">
        <v>11</v>
      </c>
    </row>
    <row r="76" spans="1:42" s="1564" customFormat="1" ht="11.45" customHeight="1">
      <c r="A76" s="914"/>
      <c r="B76" s="914"/>
      <c r="C76" s="914"/>
      <c r="D76" s="914"/>
      <c r="E76" s="914"/>
      <c r="F76" s="1559"/>
      <c r="G76" s="1559"/>
      <c r="H76" s="287"/>
      <c r="S76" s="1289"/>
      <c r="U76" s="1289"/>
      <c r="V76" s="1559"/>
      <c r="W76" s="1559"/>
      <c r="X76" s="1289"/>
      <c r="Y76" s="1289"/>
      <c r="Z76" s="1289"/>
      <c r="AA76" s="1289"/>
      <c r="AB76" s="1559"/>
      <c r="AC76" s="1289"/>
      <c r="AD76" s="1289"/>
      <c r="AE76" s="480"/>
      <c r="AF76" s="1289"/>
      <c r="AG76" s="1289"/>
      <c r="AH76" s="1289"/>
      <c r="AI76" s="1289"/>
      <c r="AJ76" s="1289"/>
      <c r="AK76" s="1555"/>
      <c r="AL76" s="558"/>
      <c r="AM76" s="558"/>
      <c r="AN76" s="558"/>
      <c r="AO76" s="558"/>
      <c r="AP76" s="1564">
        <v>11</v>
      </c>
    </row>
    <row r="77" spans="1:42" s="1564" customFormat="1" ht="11.45" customHeight="1">
      <c r="A77" s="914"/>
      <c r="B77" s="914"/>
      <c r="C77" s="914"/>
      <c r="D77" s="914"/>
      <c r="E77" s="914"/>
      <c r="F77" s="1559"/>
      <c r="G77" s="1559"/>
      <c r="H77" s="287"/>
      <c r="S77" s="1289"/>
      <c r="U77" s="1289"/>
      <c r="V77" s="1559"/>
      <c r="W77" s="1559"/>
      <c r="X77" s="1289"/>
      <c r="Y77" s="1289"/>
      <c r="Z77" s="1289"/>
      <c r="AA77" s="1289"/>
      <c r="AB77" s="1559"/>
      <c r="AC77" s="1289"/>
      <c r="AD77" s="1289"/>
      <c r="AE77" s="480"/>
      <c r="AF77" s="1289"/>
      <c r="AG77" s="1289"/>
      <c r="AH77" s="1289"/>
      <c r="AI77" s="1289"/>
      <c r="AJ77" s="1289"/>
      <c r="AK77" s="1555"/>
      <c r="AL77" s="558"/>
      <c r="AM77" s="558"/>
      <c r="AN77" s="558"/>
      <c r="AO77" s="558"/>
      <c r="AP77" s="1564">
        <v>11</v>
      </c>
    </row>
    <row r="78" spans="1:42" s="1564" customFormat="1" ht="11.45" customHeight="1">
      <c r="A78" s="914"/>
      <c r="B78" s="914"/>
      <c r="C78" s="914"/>
      <c r="D78" s="914"/>
      <c r="E78" s="914"/>
      <c r="F78" s="1559"/>
      <c r="G78" s="1559"/>
      <c r="H78" s="287"/>
      <c r="S78" s="1289"/>
      <c r="U78" s="1289"/>
      <c r="V78" s="1559"/>
      <c r="W78" s="1559"/>
      <c r="X78" s="1289"/>
      <c r="Y78" s="1289"/>
      <c r="Z78" s="1289"/>
      <c r="AA78" s="1289"/>
      <c r="AB78" s="1559"/>
      <c r="AC78" s="1289"/>
      <c r="AD78" s="1289"/>
      <c r="AE78" s="480"/>
      <c r="AF78" s="1289"/>
      <c r="AG78" s="1289"/>
      <c r="AH78" s="1289"/>
      <c r="AI78" s="1289"/>
      <c r="AJ78" s="1289"/>
      <c r="AK78" s="1555"/>
      <c r="AL78" s="558"/>
      <c r="AM78" s="558"/>
      <c r="AN78" s="558"/>
      <c r="AO78" s="558"/>
      <c r="AP78" s="1564">
        <v>11</v>
      </c>
    </row>
    <row r="79" spans="1:42" s="1564" customFormat="1" ht="11.45" customHeight="1">
      <c r="A79" s="914"/>
      <c r="B79" s="914"/>
      <c r="C79" s="914"/>
      <c r="D79" s="914"/>
      <c r="E79" s="914"/>
      <c r="F79" s="1559"/>
      <c r="G79" s="1559"/>
      <c r="H79" s="287"/>
      <c r="S79" s="1289"/>
      <c r="U79" s="1289"/>
      <c r="V79" s="1559"/>
      <c r="W79" s="1559"/>
      <c r="X79" s="1289"/>
      <c r="Y79" s="1289"/>
      <c r="Z79" s="1289"/>
      <c r="AA79" s="1289"/>
      <c r="AB79" s="1559"/>
      <c r="AC79" s="1289"/>
      <c r="AD79" s="1289"/>
      <c r="AE79" s="480"/>
      <c r="AF79" s="1289"/>
      <c r="AG79" s="1289"/>
      <c r="AH79" s="1289"/>
      <c r="AI79" s="1289"/>
      <c r="AJ79" s="1289"/>
      <c r="AK79" s="1555"/>
      <c r="AL79" s="558"/>
      <c r="AM79" s="558"/>
      <c r="AN79" s="558"/>
      <c r="AO79" s="558"/>
      <c r="AP79" s="1564">
        <v>11</v>
      </c>
    </row>
    <row r="80" spans="1:42" s="1564" customFormat="1" ht="11.45" customHeight="1">
      <c r="A80" s="914"/>
      <c r="B80" s="914"/>
      <c r="C80" s="914"/>
      <c r="D80" s="914"/>
      <c r="E80" s="914"/>
      <c r="F80" s="1559"/>
      <c r="G80" s="1559"/>
      <c r="H80" s="287"/>
      <c r="S80" s="1289"/>
      <c r="U80" s="1289"/>
      <c r="V80" s="1559"/>
      <c r="W80" s="1559"/>
      <c r="X80" s="1289"/>
      <c r="Y80" s="1289"/>
      <c r="Z80" s="1289"/>
      <c r="AA80" s="1289"/>
      <c r="AB80" s="1559"/>
      <c r="AC80" s="1289"/>
      <c r="AD80" s="1289"/>
      <c r="AE80" s="480"/>
      <c r="AF80" s="1289"/>
      <c r="AG80" s="1289"/>
      <c r="AH80" s="1289"/>
      <c r="AI80" s="1289"/>
      <c r="AJ80" s="1289"/>
      <c r="AK80" s="1555"/>
      <c r="AL80" s="558"/>
      <c r="AM80" s="558"/>
      <c r="AN80" s="558"/>
      <c r="AO80" s="558"/>
      <c r="AP80" s="1564">
        <v>11</v>
      </c>
    </row>
    <row r="81" spans="1:42" s="1564" customFormat="1" ht="11.45" customHeight="1">
      <c r="A81" s="914"/>
      <c r="B81" s="914"/>
      <c r="C81" s="914"/>
      <c r="D81" s="914"/>
      <c r="E81" s="914"/>
      <c r="F81" s="1559"/>
      <c r="G81" s="1559"/>
      <c r="H81" s="287"/>
      <c r="S81" s="1289"/>
      <c r="U81" s="1289"/>
      <c r="V81" s="1559"/>
      <c r="W81" s="1559"/>
      <c r="X81" s="1289"/>
      <c r="Y81" s="1289"/>
      <c r="Z81" s="1289"/>
      <c r="AA81" s="1289"/>
      <c r="AB81" s="1559"/>
      <c r="AC81" s="1289"/>
      <c r="AD81" s="1289"/>
      <c r="AE81" s="480"/>
      <c r="AF81" s="1289"/>
      <c r="AG81" s="1289"/>
      <c r="AH81" s="1289"/>
      <c r="AI81" s="1289"/>
      <c r="AJ81" s="1289"/>
      <c r="AK81" s="1555"/>
      <c r="AL81" s="558"/>
      <c r="AM81" s="558"/>
      <c r="AN81" s="558"/>
      <c r="AO81" s="558"/>
      <c r="AP81" s="1564">
        <v>11</v>
      </c>
    </row>
    <row r="82" spans="1:42" s="1564" customFormat="1" ht="11.45" customHeight="1">
      <c r="A82" s="914"/>
      <c r="B82" s="914"/>
      <c r="C82" s="914"/>
      <c r="D82" s="914"/>
      <c r="E82" s="914"/>
      <c r="F82" s="1559"/>
      <c r="G82" s="1559"/>
      <c r="H82" s="287"/>
      <c r="S82" s="1289"/>
      <c r="U82" s="1289"/>
      <c r="V82" s="1559"/>
      <c r="W82" s="1559"/>
      <c r="X82" s="1289"/>
      <c r="Y82" s="1289"/>
      <c r="Z82" s="1289"/>
      <c r="AA82" s="1289"/>
      <c r="AB82" s="1559"/>
      <c r="AC82" s="1289"/>
      <c r="AD82" s="1289"/>
      <c r="AE82" s="480"/>
      <c r="AF82" s="1289"/>
      <c r="AG82" s="1289"/>
      <c r="AH82" s="1289"/>
      <c r="AI82" s="1289"/>
      <c r="AJ82" s="1289"/>
      <c r="AK82" s="1555"/>
      <c r="AL82" s="558"/>
      <c r="AM82" s="558"/>
      <c r="AN82" s="558"/>
      <c r="AO82" s="558"/>
      <c r="AP82" s="1564">
        <v>11</v>
      </c>
    </row>
    <row r="83" spans="1:42" s="1564" customFormat="1" ht="11.45" customHeight="1">
      <c r="A83" s="914"/>
      <c r="B83" s="914"/>
      <c r="C83" s="914"/>
      <c r="D83" s="914"/>
      <c r="E83" s="914"/>
      <c r="F83" s="1559"/>
      <c r="G83" s="1559"/>
      <c r="H83" s="287"/>
      <c r="S83" s="1289"/>
      <c r="U83" s="1289"/>
      <c r="V83" s="1559"/>
      <c r="W83" s="1559"/>
      <c r="X83" s="1289"/>
      <c r="Y83" s="1289"/>
      <c r="Z83" s="1289"/>
      <c r="AA83" s="1289"/>
      <c r="AB83" s="1559"/>
      <c r="AC83" s="1289"/>
      <c r="AD83" s="1289"/>
      <c r="AE83" s="480"/>
      <c r="AF83" s="1289"/>
      <c r="AG83" s="1289"/>
      <c r="AH83" s="1289"/>
      <c r="AI83" s="1289"/>
      <c r="AJ83" s="1289"/>
      <c r="AK83" s="1555"/>
      <c r="AL83" s="558"/>
      <c r="AM83" s="558"/>
      <c r="AN83" s="558"/>
      <c r="AO83" s="558"/>
      <c r="AP83" s="1564">
        <v>11</v>
      </c>
    </row>
    <row r="84" spans="1:42" s="1564" customFormat="1" ht="11.45" customHeight="1">
      <c r="A84" s="914"/>
      <c r="B84" s="914"/>
      <c r="C84" s="914"/>
      <c r="D84" s="914"/>
      <c r="E84" s="914"/>
      <c r="F84" s="1559"/>
      <c r="G84" s="1559"/>
      <c r="H84" s="287"/>
      <c r="S84" s="1289"/>
      <c r="U84" s="1289"/>
      <c r="V84" s="1559"/>
      <c r="W84" s="1559"/>
      <c r="X84" s="1289"/>
      <c r="Y84" s="1289"/>
      <c r="Z84" s="1289"/>
      <c r="AA84" s="1289"/>
      <c r="AB84" s="1559"/>
      <c r="AC84" s="1289"/>
      <c r="AD84" s="1289"/>
      <c r="AE84" s="480"/>
      <c r="AF84" s="1289"/>
      <c r="AG84" s="1289"/>
      <c r="AH84" s="1289"/>
      <c r="AI84" s="1289"/>
      <c r="AJ84" s="1289"/>
      <c r="AK84" s="1555"/>
      <c r="AL84" s="558"/>
      <c r="AM84" s="558"/>
      <c r="AN84" s="558"/>
      <c r="AO84" s="558"/>
      <c r="AP84" s="1564">
        <v>11</v>
      </c>
    </row>
    <row r="85" spans="1:42" s="1564" customFormat="1" ht="11.45" customHeight="1">
      <c r="A85" s="914"/>
      <c r="B85" s="914"/>
      <c r="C85" s="914"/>
      <c r="D85" s="914"/>
      <c r="E85" s="914"/>
      <c r="F85" s="1559"/>
      <c r="G85" s="1559"/>
      <c r="H85" s="287"/>
      <c r="S85" s="1289"/>
      <c r="U85" s="1289"/>
      <c r="V85" s="1559"/>
      <c r="W85" s="1559"/>
      <c r="X85" s="1289"/>
      <c r="Y85" s="1289"/>
      <c r="Z85" s="1289"/>
      <c r="AA85" s="1289"/>
      <c r="AB85" s="1559"/>
      <c r="AC85" s="1289"/>
      <c r="AD85" s="1289"/>
      <c r="AE85" s="480"/>
      <c r="AF85" s="1289"/>
      <c r="AG85" s="1289"/>
      <c r="AH85" s="1289"/>
      <c r="AI85" s="1289"/>
      <c r="AJ85" s="1289"/>
      <c r="AK85" s="1555"/>
      <c r="AL85" s="558"/>
      <c r="AM85" s="558"/>
      <c r="AN85" s="558"/>
      <c r="AO85" s="558"/>
      <c r="AP85" s="1564">
        <v>11</v>
      </c>
    </row>
    <row r="86" spans="1:42" s="1564" customFormat="1" ht="11.45" customHeight="1">
      <c r="A86" s="914"/>
      <c r="B86" s="914"/>
      <c r="C86" s="914"/>
      <c r="D86" s="914"/>
      <c r="E86" s="914"/>
      <c r="F86" s="1559"/>
      <c r="G86" s="1559"/>
      <c r="H86" s="287"/>
      <c r="S86" s="1289"/>
      <c r="U86" s="1289"/>
      <c r="V86" s="1559"/>
      <c r="W86" s="1559"/>
      <c r="X86" s="1289"/>
      <c r="Y86" s="1289"/>
      <c r="Z86" s="1289"/>
      <c r="AA86" s="1289"/>
      <c r="AB86" s="1559"/>
      <c r="AC86" s="1289"/>
      <c r="AD86" s="1289"/>
      <c r="AE86" s="480"/>
      <c r="AF86" s="1289"/>
      <c r="AG86" s="1289"/>
      <c r="AH86" s="1289"/>
      <c r="AI86" s="1289"/>
      <c r="AJ86" s="1289"/>
      <c r="AK86" s="1555"/>
      <c r="AL86" s="558"/>
      <c r="AM86" s="558"/>
      <c r="AN86" s="558"/>
      <c r="AO86" s="558"/>
      <c r="AP86" s="1564">
        <v>11</v>
      </c>
    </row>
    <row r="87" spans="1:42" s="1564" customFormat="1" ht="11.45" customHeight="1">
      <c r="A87" s="914"/>
      <c r="B87" s="914"/>
      <c r="C87" s="914"/>
      <c r="D87" s="914"/>
      <c r="E87" s="914"/>
      <c r="F87" s="1559"/>
      <c r="G87" s="1559"/>
      <c r="H87" s="287"/>
      <c r="S87" s="1289"/>
      <c r="U87" s="1289"/>
      <c r="V87" s="1559"/>
      <c r="W87" s="1559"/>
      <c r="X87" s="1289"/>
      <c r="Y87" s="1289"/>
      <c r="Z87" s="1289"/>
      <c r="AA87" s="1289"/>
      <c r="AB87" s="1559"/>
      <c r="AC87" s="1289"/>
      <c r="AD87" s="1289"/>
      <c r="AE87" s="480"/>
      <c r="AF87" s="1289"/>
      <c r="AG87" s="1289"/>
      <c r="AH87" s="1289"/>
      <c r="AI87" s="1289"/>
      <c r="AJ87" s="1289"/>
      <c r="AK87" s="1555"/>
      <c r="AL87" s="558"/>
      <c r="AM87" s="558"/>
      <c r="AN87" s="558"/>
      <c r="AO87" s="558"/>
      <c r="AP87" s="1564">
        <v>11</v>
      </c>
    </row>
    <row r="88" spans="1:42" s="1564" customFormat="1" ht="11.45" customHeight="1">
      <c r="A88" s="914"/>
      <c r="B88" s="914"/>
      <c r="C88" s="914"/>
      <c r="D88" s="914"/>
      <c r="E88" s="914"/>
      <c r="F88" s="1559"/>
      <c r="G88" s="1559"/>
      <c r="H88" s="287"/>
      <c r="S88" s="1289"/>
      <c r="U88" s="1289"/>
      <c r="V88" s="1559"/>
      <c r="W88" s="1559"/>
      <c r="X88" s="1289"/>
      <c r="Y88" s="1289"/>
      <c r="Z88" s="1289"/>
      <c r="AA88" s="1289"/>
      <c r="AB88" s="1559"/>
      <c r="AC88" s="1289"/>
      <c r="AD88" s="1289"/>
      <c r="AE88" s="480"/>
      <c r="AF88" s="1289"/>
      <c r="AG88" s="1289"/>
      <c r="AH88" s="1289"/>
      <c r="AI88" s="1289"/>
      <c r="AJ88" s="1289"/>
      <c r="AK88" s="1555"/>
      <c r="AL88" s="558"/>
      <c r="AM88" s="558"/>
      <c r="AN88" s="558"/>
      <c r="AO88" s="558"/>
      <c r="AP88" s="1564">
        <v>11</v>
      </c>
    </row>
    <row r="89" spans="1:42" s="1564" customFormat="1" ht="11.45" customHeight="1">
      <c r="A89" s="914"/>
      <c r="B89" s="914"/>
      <c r="C89" s="914"/>
      <c r="D89" s="914"/>
      <c r="E89" s="914"/>
      <c r="F89" s="1559"/>
      <c r="G89" s="1559"/>
      <c r="H89" s="287"/>
      <c r="S89" s="1289"/>
      <c r="U89" s="1289"/>
      <c r="V89" s="1559"/>
      <c r="W89" s="1559"/>
      <c r="X89" s="1289"/>
      <c r="Y89" s="1289"/>
      <c r="Z89" s="1289"/>
      <c r="AA89" s="1289"/>
      <c r="AB89" s="1559"/>
      <c r="AC89" s="1289"/>
      <c r="AD89" s="1289"/>
      <c r="AE89" s="480"/>
      <c r="AF89" s="1289"/>
      <c r="AG89" s="1289"/>
      <c r="AH89" s="1289"/>
      <c r="AI89" s="1289"/>
      <c r="AJ89" s="1289"/>
      <c r="AK89" s="1555"/>
      <c r="AL89" s="558"/>
      <c r="AM89" s="558"/>
      <c r="AN89" s="558"/>
      <c r="AO89" s="558"/>
      <c r="AP89" s="1564">
        <v>11</v>
      </c>
    </row>
    <row r="90" spans="1:42" s="1564" customFormat="1" ht="11.45" customHeight="1">
      <c r="A90" s="914"/>
      <c r="B90" s="914"/>
      <c r="C90" s="914"/>
      <c r="D90" s="914"/>
      <c r="E90" s="914"/>
      <c r="F90" s="1559"/>
      <c r="G90" s="1559"/>
      <c r="H90" s="287"/>
      <c r="S90" s="1289"/>
      <c r="U90" s="1289"/>
      <c r="V90" s="1559"/>
      <c r="W90" s="1559"/>
      <c r="X90" s="1289"/>
      <c r="Y90" s="1289"/>
      <c r="Z90" s="1289"/>
      <c r="AA90" s="1289"/>
      <c r="AB90" s="1559"/>
      <c r="AC90" s="1289"/>
      <c r="AD90" s="1289"/>
      <c r="AE90" s="480"/>
      <c r="AF90" s="1289"/>
      <c r="AG90" s="1289"/>
      <c r="AH90" s="1289"/>
      <c r="AI90" s="1289"/>
      <c r="AJ90" s="1289"/>
      <c r="AK90" s="1555"/>
      <c r="AL90" s="558"/>
      <c r="AM90" s="558"/>
      <c r="AN90" s="558"/>
      <c r="AO90" s="558"/>
      <c r="AP90" s="1564">
        <v>11</v>
      </c>
    </row>
    <row r="91" spans="1:42" s="1564" customFormat="1" ht="11.45" customHeight="1">
      <c r="A91" s="914"/>
      <c r="B91" s="914"/>
      <c r="C91" s="914"/>
      <c r="D91" s="914"/>
      <c r="E91" s="914"/>
      <c r="F91" s="1559"/>
      <c r="G91" s="1559"/>
      <c r="H91" s="287"/>
      <c r="S91" s="1289"/>
      <c r="U91" s="1289"/>
      <c r="V91" s="1559"/>
      <c r="W91" s="1559"/>
      <c r="X91" s="1289"/>
      <c r="Y91" s="1289"/>
      <c r="Z91" s="1289"/>
      <c r="AA91" s="1289"/>
      <c r="AB91" s="1559"/>
      <c r="AC91" s="1289"/>
      <c r="AD91" s="1289"/>
      <c r="AE91" s="480"/>
      <c r="AF91" s="1289"/>
      <c r="AG91" s="1289"/>
      <c r="AH91" s="1289"/>
      <c r="AI91" s="1289"/>
      <c r="AJ91" s="1289"/>
      <c r="AK91" s="1555"/>
      <c r="AL91" s="558"/>
      <c r="AM91" s="558"/>
      <c r="AN91" s="558"/>
      <c r="AO91" s="558"/>
      <c r="AP91" s="1564">
        <v>11</v>
      </c>
    </row>
    <row r="92" spans="1:42" s="1564" customFormat="1" ht="11.45" customHeight="1">
      <c r="A92" s="914"/>
      <c r="B92" s="914"/>
      <c r="C92" s="914"/>
      <c r="D92" s="914"/>
      <c r="E92" s="914"/>
      <c r="F92" s="1559"/>
      <c r="G92" s="1559"/>
      <c r="H92" s="287"/>
      <c r="S92" s="1289"/>
      <c r="U92" s="1289"/>
      <c r="V92" s="1559"/>
      <c r="W92" s="1559"/>
      <c r="X92" s="1289"/>
      <c r="Y92" s="1289"/>
      <c r="Z92" s="1289"/>
      <c r="AA92" s="1289"/>
      <c r="AB92" s="1559"/>
      <c r="AC92" s="1289"/>
      <c r="AD92" s="1289"/>
      <c r="AE92" s="480"/>
      <c r="AF92" s="1289"/>
      <c r="AG92" s="1289"/>
      <c r="AH92" s="1289"/>
      <c r="AI92" s="1289"/>
      <c r="AJ92" s="1289"/>
      <c r="AK92" s="1555"/>
      <c r="AL92" s="558"/>
      <c r="AM92" s="558"/>
      <c r="AN92" s="558"/>
      <c r="AO92" s="558"/>
      <c r="AP92" s="1564">
        <v>11</v>
      </c>
    </row>
    <row r="93" spans="1:42" s="1564" customFormat="1" ht="11.45" customHeight="1">
      <c r="A93" s="914"/>
      <c r="B93" s="914"/>
      <c r="C93" s="914"/>
      <c r="D93" s="914"/>
      <c r="E93" s="914"/>
      <c r="F93" s="1559"/>
      <c r="G93" s="1559"/>
      <c r="H93" s="287"/>
      <c r="S93" s="1289"/>
      <c r="U93" s="1289"/>
      <c r="V93" s="1559"/>
      <c r="W93" s="1559"/>
      <c r="X93" s="1289"/>
      <c r="Y93" s="1289"/>
      <c r="Z93" s="1289"/>
      <c r="AA93" s="1289"/>
      <c r="AB93" s="1559"/>
      <c r="AC93" s="1289"/>
      <c r="AD93" s="1289"/>
      <c r="AE93" s="480"/>
      <c r="AF93" s="1289"/>
      <c r="AG93" s="1289"/>
      <c r="AH93" s="1289"/>
      <c r="AI93" s="1289"/>
      <c r="AJ93" s="1289"/>
      <c r="AK93" s="1555"/>
      <c r="AL93" s="558"/>
      <c r="AM93" s="558"/>
      <c r="AN93" s="558"/>
      <c r="AO93" s="558"/>
      <c r="AP93" s="1564">
        <v>11</v>
      </c>
    </row>
    <row r="94" spans="1:42" s="1564" customFormat="1" ht="11.45" customHeight="1">
      <c r="A94" s="914"/>
      <c r="B94" s="914"/>
      <c r="C94" s="914"/>
      <c r="D94" s="914"/>
      <c r="E94" s="914"/>
      <c r="F94" s="1559"/>
      <c r="G94" s="1559"/>
      <c r="H94" s="287"/>
      <c r="S94" s="1289"/>
      <c r="U94" s="1289"/>
      <c r="V94" s="1559"/>
      <c r="W94" s="1559"/>
      <c r="X94" s="1289"/>
      <c r="Y94" s="1289"/>
      <c r="Z94" s="1289"/>
      <c r="AA94" s="1289"/>
      <c r="AB94" s="1559"/>
      <c r="AC94" s="1289"/>
      <c r="AD94" s="1289"/>
      <c r="AE94" s="480"/>
      <c r="AF94" s="1289"/>
      <c r="AG94" s="1289"/>
      <c r="AH94" s="1289"/>
      <c r="AI94" s="1289"/>
      <c r="AJ94" s="1289"/>
      <c r="AK94" s="1555"/>
      <c r="AL94" s="558"/>
      <c r="AM94" s="558"/>
      <c r="AN94" s="558"/>
      <c r="AO94" s="558"/>
      <c r="AP94" s="1564">
        <v>11</v>
      </c>
    </row>
    <row r="95" spans="1:42" s="1564" customFormat="1" ht="11.45" customHeight="1">
      <c r="A95" s="914"/>
      <c r="B95" s="914"/>
      <c r="C95" s="914"/>
      <c r="D95" s="914"/>
      <c r="E95" s="914"/>
      <c r="F95" s="1559"/>
      <c r="G95" s="1559"/>
      <c r="H95" s="287"/>
      <c r="S95" s="1289"/>
      <c r="U95" s="1289"/>
      <c r="V95" s="1559"/>
      <c r="W95" s="1559"/>
      <c r="X95" s="1289"/>
      <c r="Y95" s="1289"/>
      <c r="Z95" s="1289"/>
      <c r="AA95" s="1289"/>
      <c r="AB95" s="1559"/>
      <c r="AC95" s="1289"/>
      <c r="AD95" s="1289"/>
      <c r="AE95" s="480"/>
      <c r="AF95" s="1289"/>
      <c r="AG95" s="1289"/>
      <c r="AH95" s="1289"/>
      <c r="AI95" s="1289"/>
      <c r="AJ95" s="1289"/>
      <c r="AK95" s="1555"/>
      <c r="AL95" s="558"/>
      <c r="AM95" s="558"/>
      <c r="AN95" s="558"/>
      <c r="AO95" s="558"/>
      <c r="AP95" s="1564">
        <v>11</v>
      </c>
    </row>
    <row r="96" spans="1:42" s="1564" customFormat="1" ht="11.45" customHeight="1">
      <c r="A96" s="914"/>
      <c r="B96" s="914"/>
      <c r="C96" s="914"/>
      <c r="D96" s="914"/>
      <c r="E96" s="914"/>
      <c r="F96" s="1559"/>
      <c r="G96" s="1559"/>
      <c r="H96" s="287"/>
      <c r="S96" s="1289"/>
      <c r="U96" s="1289"/>
      <c r="V96" s="1559"/>
      <c r="W96" s="1559"/>
      <c r="X96" s="1289"/>
      <c r="Y96" s="1289"/>
      <c r="Z96" s="1289"/>
      <c r="AA96" s="1289"/>
      <c r="AB96" s="1559"/>
      <c r="AC96" s="1289"/>
      <c r="AD96" s="1289"/>
      <c r="AE96" s="480"/>
      <c r="AF96" s="1289"/>
      <c r="AG96" s="1289"/>
      <c r="AH96" s="1289"/>
      <c r="AI96" s="1289"/>
      <c r="AJ96" s="1289"/>
      <c r="AK96" s="1555"/>
      <c r="AL96" s="558"/>
      <c r="AM96" s="558"/>
      <c r="AN96" s="558"/>
      <c r="AO96" s="558"/>
      <c r="AP96" s="1564">
        <v>11</v>
      </c>
    </row>
    <row r="97" spans="1:42" s="1564" customFormat="1" ht="11.45" customHeight="1">
      <c r="A97" s="914"/>
      <c r="B97" s="914"/>
      <c r="C97" s="914"/>
      <c r="D97" s="914"/>
      <c r="E97" s="914"/>
      <c r="F97" s="1559"/>
      <c r="G97" s="1559"/>
      <c r="H97" s="287"/>
      <c r="S97" s="1289"/>
      <c r="U97" s="1289"/>
      <c r="V97" s="1559"/>
      <c r="W97" s="1559"/>
      <c r="X97" s="1289"/>
      <c r="Y97" s="1289"/>
      <c r="Z97" s="1289"/>
      <c r="AA97" s="1289"/>
      <c r="AB97" s="1559"/>
      <c r="AC97" s="1289"/>
      <c r="AD97" s="1289"/>
      <c r="AE97" s="480"/>
      <c r="AF97" s="1289"/>
      <c r="AG97" s="1289"/>
      <c r="AH97" s="1289"/>
      <c r="AI97" s="1289"/>
      <c r="AJ97" s="1289"/>
      <c r="AK97" s="1555"/>
      <c r="AL97" s="558"/>
      <c r="AM97" s="558"/>
      <c r="AN97" s="558"/>
      <c r="AO97" s="558"/>
      <c r="AP97" s="1564">
        <v>11</v>
      </c>
    </row>
    <row r="98" spans="1:42" s="1564" customFormat="1" ht="11.45" customHeight="1">
      <c r="A98" s="914"/>
      <c r="B98" s="914"/>
      <c r="C98" s="914"/>
      <c r="D98" s="914"/>
      <c r="E98" s="914"/>
      <c r="F98" s="1559"/>
      <c r="G98" s="1559"/>
      <c r="H98" s="287"/>
      <c r="S98" s="1289"/>
      <c r="U98" s="1289"/>
      <c r="V98" s="1559"/>
      <c r="W98" s="1559"/>
      <c r="X98" s="1289"/>
      <c r="Y98" s="1289"/>
      <c r="Z98" s="1289"/>
      <c r="AA98" s="1289"/>
      <c r="AB98" s="1559"/>
      <c r="AC98" s="1289"/>
      <c r="AD98" s="1289"/>
      <c r="AE98" s="480"/>
      <c r="AF98" s="1289"/>
      <c r="AG98" s="1289"/>
      <c r="AH98" s="1289"/>
      <c r="AI98" s="1289"/>
      <c r="AJ98" s="1289"/>
      <c r="AK98" s="1555"/>
      <c r="AL98" s="558"/>
      <c r="AM98" s="558"/>
      <c r="AN98" s="558"/>
      <c r="AO98" s="558"/>
      <c r="AP98" s="1564">
        <v>11</v>
      </c>
    </row>
    <row r="99" spans="1:42" s="1564" customFormat="1" ht="11.45" customHeight="1">
      <c r="A99" s="914"/>
      <c r="B99" s="914"/>
      <c r="C99" s="914"/>
      <c r="D99" s="914"/>
      <c r="E99" s="914"/>
      <c r="F99" s="1559"/>
      <c r="G99" s="1559"/>
      <c r="H99" s="287"/>
      <c r="S99" s="1289"/>
      <c r="U99" s="1289"/>
      <c r="V99" s="1559"/>
      <c r="W99" s="1559"/>
      <c r="X99" s="1289"/>
      <c r="Y99" s="1289"/>
      <c r="Z99" s="1289"/>
      <c r="AA99" s="1289"/>
      <c r="AB99" s="1559"/>
      <c r="AC99" s="1289"/>
      <c r="AD99" s="1289"/>
      <c r="AE99" s="480"/>
      <c r="AF99" s="1289"/>
      <c r="AG99" s="1289"/>
      <c r="AH99" s="1289"/>
      <c r="AI99" s="1289"/>
      <c r="AJ99" s="1289"/>
      <c r="AK99" s="1555"/>
      <c r="AL99" s="558"/>
      <c r="AM99" s="558"/>
      <c r="AN99" s="558"/>
      <c r="AO99" s="558"/>
      <c r="AP99" s="1564">
        <v>11</v>
      </c>
    </row>
    <row r="100" spans="1:42" s="1564" customFormat="1" ht="11.45" customHeight="1">
      <c r="A100" s="914"/>
      <c r="B100" s="914"/>
      <c r="C100" s="914"/>
      <c r="D100" s="914"/>
      <c r="E100" s="914"/>
      <c r="F100" s="1559"/>
      <c r="G100" s="1559"/>
      <c r="H100" s="287"/>
      <c r="S100" s="1289"/>
      <c r="U100" s="1289"/>
      <c r="V100" s="1559"/>
      <c r="W100" s="1559"/>
      <c r="X100" s="1289"/>
      <c r="Y100" s="1289"/>
      <c r="Z100" s="1289"/>
      <c r="AA100" s="1289"/>
      <c r="AB100" s="1559"/>
      <c r="AC100" s="1289"/>
      <c r="AD100" s="1289"/>
      <c r="AE100" s="480"/>
      <c r="AF100" s="1289"/>
      <c r="AG100" s="1289"/>
      <c r="AH100" s="1289"/>
      <c r="AI100" s="1289"/>
      <c r="AJ100" s="1289"/>
      <c r="AK100" s="1555"/>
      <c r="AL100" s="558"/>
      <c r="AM100" s="558"/>
      <c r="AN100" s="558"/>
      <c r="AO100" s="558"/>
      <c r="AP100" s="1564">
        <v>11</v>
      </c>
    </row>
    <row r="101" spans="1:42" s="1564" customFormat="1" ht="11.45" customHeight="1">
      <c r="A101" s="914"/>
      <c r="B101" s="914"/>
      <c r="C101" s="914"/>
      <c r="D101" s="914"/>
      <c r="E101" s="914"/>
      <c r="F101" s="1559"/>
      <c r="G101" s="1559"/>
      <c r="H101" s="287"/>
      <c r="S101" s="1289"/>
      <c r="U101" s="1289"/>
      <c r="V101" s="1559"/>
      <c r="W101" s="1559"/>
      <c r="X101" s="1289"/>
      <c r="Y101" s="1289"/>
      <c r="Z101" s="1289"/>
      <c r="AA101" s="1289"/>
      <c r="AB101" s="1559"/>
      <c r="AC101" s="1289"/>
      <c r="AD101" s="1289"/>
      <c r="AE101" s="480"/>
      <c r="AF101" s="1289"/>
      <c r="AG101" s="1289"/>
      <c r="AH101" s="1289"/>
      <c r="AI101" s="1289"/>
      <c r="AJ101" s="1289"/>
      <c r="AK101" s="1555"/>
      <c r="AL101" s="558"/>
      <c r="AM101" s="558"/>
      <c r="AN101" s="558"/>
      <c r="AO101" s="558"/>
      <c r="AP101" s="1564">
        <v>11</v>
      </c>
    </row>
    <row r="102" spans="1:42" s="1564" customFormat="1" ht="11.45" customHeight="1">
      <c r="A102" s="914"/>
      <c r="B102" s="914"/>
      <c r="C102" s="914"/>
      <c r="D102" s="914"/>
      <c r="E102" s="914"/>
      <c r="F102" s="1559"/>
      <c r="G102" s="1559"/>
      <c r="H102" s="287"/>
      <c r="S102" s="1289"/>
      <c r="U102" s="1289"/>
      <c r="V102" s="1559"/>
      <c r="W102" s="1559"/>
      <c r="X102" s="1289"/>
      <c r="Y102" s="1289"/>
      <c r="Z102" s="1289"/>
      <c r="AA102" s="1289"/>
      <c r="AB102" s="1559"/>
      <c r="AC102" s="1289"/>
      <c r="AD102" s="1289"/>
      <c r="AE102" s="480"/>
      <c r="AF102" s="1289"/>
      <c r="AG102" s="1289"/>
      <c r="AH102" s="1289"/>
      <c r="AI102" s="1289"/>
      <c r="AJ102" s="1289"/>
      <c r="AK102" s="1555"/>
      <c r="AL102" s="558"/>
      <c r="AM102" s="558"/>
      <c r="AN102" s="558"/>
      <c r="AO102" s="558"/>
      <c r="AP102" s="1564">
        <v>11</v>
      </c>
    </row>
    <row r="103" spans="1:42" s="1564" customFormat="1" ht="11.45" customHeight="1">
      <c r="A103" s="914"/>
      <c r="B103" s="914"/>
      <c r="C103" s="914"/>
      <c r="D103" s="914"/>
      <c r="E103" s="914"/>
      <c r="F103" s="1559"/>
      <c r="G103" s="1559"/>
      <c r="H103" s="287"/>
      <c r="S103" s="1289"/>
      <c r="U103" s="1289"/>
      <c r="V103" s="1559"/>
      <c r="W103" s="1559"/>
      <c r="X103" s="1289"/>
      <c r="Y103" s="1289"/>
      <c r="Z103" s="1289"/>
      <c r="AA103" s="1289"/>
      <c r="AB103" s="1559"/>
      <c r="AC103" s="1289"/>
      <c r="AD103" s="1289"/>
      <c r="AE103" s="480"/>
      <c r="AF103" s="1289"/>
      <c r="AG103" s="1289"/>
      <c r="AH103" s="1289"/>
      <c r="AI103" s="1289"/>
      <c r="AJ103" s="1289"/>
      <c r="AK103" s="1555"/>
      <c r="AL103" s="558"/>
      <c r="AM103" s="558"/>
      <c r="AN103" s="558"/>
      <c r="AO103" s="558"/>
      <c r="AP103" s="1564">
        <v>11</v>
      </c>
    </row>
    <row r="104" spans="1:42" s="1564" customFormat="1" ht="11.45" customHeight="1">
      <c r="A104" s="914"/>
      <c r="B104" s="914"/>
      <c r="C104" s="914"/>
      <c r="D104" s="914"/>
      <c r="E104" s="914"/>
      <c r="F104" s="1559"/>
      <c r="G104" s="1559"/>
      <c r="H104" s="287"/>
      <c r="S104" s="1289"/>
      <c r="U104" s="1289"/>
      <c r="V104" s="1559"/>
      <c r="W104" s="1559"/>
      <c r="X104" s="1289"/>
      <c r="Y104" s="1289"/>
      <c r="Z104" s="1289"/>
      <c r="AA104" s="1289"/>
      <c r="AB104" s="1559"/>
      <c r="AC104" s="1289"/>
      <c r="AD104" s="1289"/>
      <c r="AE104" s="480"/>
      <c r="AF104" s="1289"/>
      <c r="AG104" s="1289"/>
      <c r="AH104" s="1289"/>
      <c r="AI104" s="1289"/>
      <c r="AJ104" s="1289"/>
      <c r="AK104" s="1555"/>
      <c r="AL104" s="558"/>
      <c r="AM104" s="558"/>
      <c r="AN104" s="558"/>
      <c r="AO104" s="558"/>
      <c r="AP104" s="1564">
        <v>11</v>
      </c>
    </row>
    <row r="105" spans="1:42" s="1564" customFormat="1" ht="11.45" customHeight="1">
      <c r="A105" s="914"/>
      <c r="B105" s="914"/>
      <c r="C105" s="914"/>
      <c r="D105" s="914"/>
      <c r="E105" s="914"/>
      <c r="F105" s="1559"/>
      <c r="G105" s="1559"/>
      <c r="H105" s="287"/>
      <c r="S105" s="1289"/>
      <c r="U105" s="1289"/>
      <c r="V105" s="1559"/>
      <c r="W105" s="1559"/>
      <c r="X105" s="1289"/>
      <c r="Y105" s="1289"/>
      <c r="Z105" s="1289"/>
      <c r="AA105" s="1289"/>
      <c r="AB105" s="1559"/>
      <c r="AC105" s="1289"/>
      <c r="AD105" s="1289"/>
      <c r="AE105" s="480"/>
      <c r="AF105" s="1289"/>
      <c r="AG105" s="1289"/>
      <c r="AH105" s="1289"/>
      <c r="AI105" s="1289"/>
      <c r="AJ105" s="1289"/>
      <c r="AK105" s="1555"/>
      <c r="AL105" s="558"/>
      <c r="AM105" s="558"/>
      <c r="AN105" s="558"/>
      <c r="AO105" s="558"/>
      <c r="AP105" s="1564">
        <v>11</v>
      </c>
    </row>
    <row r="106" spans="1:42" s="1564" customFormat="1" ht="11.45" customHeight="1">
      <c r="A106" s="914"/>
      <c r="B106" s="914"/>
      <c r="C106" s="914"/>
      <c r="D106" s="914"/>
      <c r="E106" s="914"/>
      <c r="F106" s="1559"/>
      <c r="G106" s="1559"/>
      <c r="H106" s="287"/>
      <c r="S106" s="1289"/>
      <c r="U106" s="1289"/>
      <c r="V106" s="1559"/>
      <c r="W106" s="1559"/>
      <c r="X106" s="1289"/>
      <c r="Y106" s="1289"/>
      <c r="Z106" s="1289"/>
      <c r="AA106" s="1289"/>
      <c r="AB106" s="1559"/>
      <c r="AC106" s="1289"/>
      <c r="AD106" s="1289"/>
      <c r="AE106" s="480"/>
      <c r="AF106" s="1289"/>
      <c r="AG106" s="1289"/>
      <c r="AH106" s="1289"/>
      <c r="AI106" s="1289"/>
      <c r="AJ106" s="1289"/>
      <c r="AK106" s="1555"/>
      <c r="AL106" s="558"/>
      <c r="AM106" s="558"/>
      <c r="AN106" s="558"/>
      <c r="AO106" s="558"/>
      <c r="AP106" s="1564">
        <v>11</v>
      </c>
    </row>
    <row r="107" spans="1:42" s="1564" customFormat="1" ht="11.45" customHeight="1">
      <c r="A107" s="914"/>
      <c r="B107" s="914"/>
      <c r="C107" s="914"/>
      <c r="D107" s="914"/>
      <c r="E107" s="914"/>
      <c r="F107" s="1559"/>
      <c r="G107" s="1559"/>
      <c r="H107" s="287"/>
      <c r="S107" s="1289"/>
      <c r="U107" s="1289"/>
      <c r="V107" s="1559"/>
      <c r="W107" s="1559"/>
      <c r="X107" s="1289"/>
      <c r="Y107" s="1289"/>
      <c r="Z107" s="1289"/>
      <c r="AA107" s="1289"/>
      <c r="AB107" s="1559"/>
      <c r="AC107" s="1289"/>
      <c r="AD107" s="1289"/>
      <c r="AE107" s="480"/>
      <c r="AF107" s="1289"/>
      <c r="AG107" s="1289"/>
      <c r="AH107" s="1289"/>
      <c r="AI107" s="1289"/>
      <c r="AJ107" s="1289"/>
      <c r="AK107" s="1555"/>
      <c r="AL107" s="558"/>
      <c r="AM107" s="558"/>
      <c r="AN107" s="558"/>
      <c r="AO107" s="558"/>
      <c r="AP107" s="1564">
        <v>11</v>
      </c>
    </row>
    <row r="108" spans="1:42" s="1564" customFormat="1" ht="11.45" customHeight="1">
      <c r="A108" s="914"/>
      <c r="B108" s="914"/>
      <c r="C108" s="914"/>
      <c r="D108" s="914"/>
      <c r="E108" s="914"/>
      <c r="F108" s="1559"/>
      <c r="G108" s="1559"/>
      <c r="H108" s="287"/>
      <c r="S108" s="1289"/>
      <c r="U108" s="1289"/>
      <c r="V108" s="1559"/>
      <c r="W108" s="1559"/>
      <c r="X108" s="1289"/>
      <c r="Y108" s="1289"/>
      <c r="Z108" s="1289"/>
      <c r="AA108" s="1289"/>
      <c r="AB108" s="1559"/>
      <c r="AC108" s="1289"/>
      <c r="AD108" s="1289"/>
      <c r="AE108" s="480"/>
      <c r="AF108" s="1289"/>
      <c r="AG108" s="1289"/>
      <c r="AH108" s="1289"/>
      <c r="AI108" s="1289"/>
      <c r="AJ108" s="1289"/>
      <c r="AK108" s="1555"/>
      <c r="AL108" s="558"/>
      <c r="AM108" s="558"/>
      <c r="AN108" s="558"/>
      <c r="AO108" s="558"/>
      <c r="AP108" s="1564">
        <v>11</v>
      </c>
    </row>
    <row r="109" spans="1:42" s="1564" customFormat="1" ht="11.45" customHeight="1">
      <c r="A109" s="914"/>
      <c r="B109" s="914"/>
      <c r="C109" s="914"/>
      <c r="D109" s="914"/>
      <c r="E109" s="914"/>
      <c r="F109" s="1559"/>
      <c r="G109" s="1559"/>
      <c r="H109" s="287"/>
      <c r="S109" s="1289"/>
      <c r="U109" s="1289"/>
      <c r="V109" s="1559"/>
      <c r="W109" s="1559"/>
      <c r="X109" s="1289"/>
      <c r="Y109" s="1289"/>
      <c r="Z109" s="1289"/>
      <c r="AA109" s="1289"/>
      <c r="AB109" s="1559"/>
      <c r="AC109" s="1289"/>
      <c r="AD109" s="1289"/>
      <c r="AE109" s="480"/>
      <c r="AF109" s="1289"/>
      <c r="AG109" s="1289"/>
      <c r="AH109" s="1289"/>
      <c r="AI109" s="1289"/>
      <c r="AJ109" s="1289"/>
      <c r="AK109" s="1555"/>
      <c r="AL109" s="558"/>
      <c r="AM109" s="558"/>
      <c r="AN109" s="558"/>
      <c r="AO109" s="558"/>
      <c r="AP109" s="1564">
        <v>11</v>
      </c>
    </row>
    <row r="110" spans="1:42" s="1564" customFormat="1" ht="11.45" customHeight="1">
      <c r="A110" s="914"/>
      <c r="B110" s="914"/>
      <c r="C110" s="914"/>
      <c r="D110" s="914"/>
      <c r="E110" s="914"/>
      <c r="F110" s="1559"/>
      <c r="G110" s="1559"/>
      <c r="H110" s="287"/>
      <c r="S110" s="1289"/>
      <c r="U110" s="1289"/>
      <c r="V110" s="1559"/>
      <c r="W110" s="1559"/>
      <c r="X110" s="1289"/>
      <c r="Y110" s="1289"/>
      <c r="Z110" s="1289"/>
      <c r="AA110" s="1289"/>
      <c r="AB110" s="1559"/>
      <c r="AC110" s="1289"/>
      <c r="AD110" s="1289"/>
      <c r="AE110" s="480"/>
      <c r="AF110" s="1289"/>
      <c r="AG110" s="1289"/>
      <c r="AH110" s="1289"/>
      <c r="AI110" s="1289"/>
      <c r="AJ110" s="1289"/>
      <c r="AK110" s="1555"/>
      <c r="AL110" s="558"/>
      <c r="AM110" s="558"/>
      <c r="AN110" s="558"/>
      <c r="AO110" s="558"/>
      <c r="AP110" s="1564">
        <v>11</v>
      </c>
    </row>
    <row r="111" spans="1:42" s="1564" customFormat="1" ht="11.45" customHeight="1">
      <c r="A111" s="914"/>
      <c r="B111" s="914"/>
      <c r="C111" s="914"/>
      <c r="D111" s="914"/>
      <c r="E111" s="914"/>
      <c r="F111" s="1559"/>
      <c r="G111" s="1559"/>
      <c r="H111" s="287"/>
      <c r="S111" s="1289"/>
      <c r="U111" s="1289"/>
      <c r="V111" s="1559"/>
      <c r="W111" s="1559"/>
      <c r="X111" s="1289"/>
      <c r="Y111" s="1289"/>
      <c r="Z111" s="1289"/>
      <c r="AA111" s="1289"/>
      <c r="AB111" s="1559"/>
      <c r="AC111" s="1289"/>
      <c r="AD111" s="1289"/>
      <c r="AE111" s="480"/>
      <c r="AF111" s="1289"/>
      <c r="AG111" s="1289"/>
      <c r="AH111" s="1289"/>
      <c r="AI111" s="1289"/>
      <c r="AJ111" s="1289"/>
      <c r="AK111" s="1555"/>
      <c r="AL111" s="558"/>
      <c r="AM111" s="558"/>
      <c r="AN111" s="558"/>
      <c r="AO111" s="558"/>
      <c r="AP111" s="1564">
        <v>11</v>
      </c>
    </row>
    <row r="112" spans="1:42" s="1564" customFormat="1" ht="11.45" customHeight="1">
      <c r="A112" s="914"/>
      <c r="B112" s="914"/>
      <c r="C112" s="914"/>
      <c r="D112" s="914"/>
      <c r="E112" s="914"/>
      <c r="F112" s="1559"/>
      <c r="G112" s="1559"/>
      <c r="H112" s="287"/>
      <c r="S112" s="1289"/>
      <c r="U112" s="1289"/>
      <c r="V112" s="1559"/>
      <c r="W112" s="1559"/>
      <c r="X112" s="1289"/>
      <c r="Y112" s="1289"/>
      <c r="Z112" s="1289"/>
      <c r="AA112" s="1289"/>
      <c r="AB112" s="1559"/>
      <c r="AC112" s="1289"/>
      <c r="AD112" s="1289"/>
      <c r="AE112" s="480"/>
      <c r="AF112" s="1289"/>
      <c r="AG112" s="1289"/>
      <c r="AH112" s="1289"/>
      <c r="AI112" s="1289"/>
      <c r="AJ112" s="1289"/>
      <c r="AK112" s="1555"/>
      <c r="AL112" s="558"/>
      <c r="AM112" s="558"/>
      <c r="AN112" s="558"/>
      <c r="AO112" s="558"/>
      <c r="AP112" s="1564">
        <v>11</v>
      </c>
    </row>
    <row r="113" spans="1:42" s="1564" customFormat="1" ht="11.45" customHeight="1">
      <c r="A113" s="914"/>
      <c r="B113" s="914"/>
      <c r="C113" s="914"/>
      <c r="D113" s="914"/>
      <c r="E113" s="914"/>
      <c r="F113" s="1559"/>
      <c r="G113" s="1559"/>
      <c r="H113" s="287"/>
      <c r="S113" s="1289"/>
      <c r="U113" s="1289"/>
      <c r="V113" s="1559"/>
      <c r="W113" s="1559"/>
      <c r="X113" s="1289"/>
      <c r="Y113" s="1289"/>
      <c r="Z113" s="1289"/>
      <c r="AA113" s="1289"/>
      <c r="AB113" s="1559"/>
      <c r="AC113" s="1289"/>
      <c r="AD113" s="1289"/>
      <c r="AE113" s="480"/>
      <c r="AF113" s="1289"/>
      <c r="AG113" s="1289"/>
      <c r="AH113" s="1289"/>
      <c r="AI113" s="1289"/>
      <c r="AJ113" s="1289"/>
      <c r="AK113" s="1555"/>
      <c r="AL113" s="558"/>
      <c r="AM113" s="558"/>
      <c r="AN113" s="558"/>
      <c r="AO113" s="558"/>
      <c r="AP113" s="1564">
        <v>11</v>
      </c>
    </row>
    <row r="114" spans="1:42" s="1564" customFormat="1" ht="11.45" customHeight="1">
      <c r="A114" s="914"/>
      <c r="B114" s="914"/>
      <c r="C114" s="914"/>
      <c r="D114" s="914"/>
      <c r="E114" s="914"/>
      <c r="F114" s="1559"/>
      <c r="G114" s="1559"/>
      <c r="H114" s="287"/>
      <c r="S114" s="1289"/>
      <c r="U114" s="1289"/>
      <c r="V114" s="1559"/>
      <c r="W114" s="1559"/>
      <c r="X114" s="1289"/>
      <c r="Y114" s="1289"/>
      <c r="Z114" s="1289"/>
      <c r="AA114" s="1289"/>
      <c r="AB114" s="1559"/>
      <c r="AC114" s="1289"/>
      <c r="AD114" s="1289"/>
      <c r="AE114" s="480"/>
      <c r="AF114" s="1289"/>
      <c r="AG114" s="1289"/>
      <c r="AH114" s="1289"/>
      <c r="AI114" s="1289"/>
      <c r="AJ114" s="1289"/>
      <c r="AK114" s="1555"/>
      <c r="AL114" s="558"/>
      <c r="AM114" s="558"/>
      <c r="AN114" s="558"/>
      <c r="AO114" s="558"/>
      <c r="AP114" s="1564">
        <v>11</v>
      </c>
    </row>
    <row r="115" spans="1:42" s="1564" customFormat="1" ht="11.45" customHeight="1">
      <c r="A115" s="914"/>
      <c r="B115" s="914"/>
      <c r="C115" s="914"/>
      <c r="D115" s="914"/>
      <c r="E115" s="914"/>
      <c r="F115" s="1559"/>
      <c r="G115" s="1559"/>
      <c r="H115" s="287"/>
      <c r="S115" s="1289"/>
      <c r="U115" s="1289"/>
      <c r="V115" s="1559"/>
      <c r="W115" s="1559"/>
      <c r="X115" s="1289"/>
      <c r="Y115" s="1289"/>
      <c r="Z115" s="1289"/>
      <c r="AA115" s="1289"/>
      <c r="AB115" s="1559"/>
      <c r="AC115" s="1289"/>
      <c r="AD115" s="1289"/>
      <c r="AE115" s="480"/>
      <c r="AF115" s="1289"/>
      <c r="AG115" s="1289"/>
      <c r="AH115" s="1289"/>
      <c r="AI115" s="1289"/>
      <c r="AJ115" s="1289"/>
      <c r="AK115" s="1555"/>
      <c r="AL115" s="558"/>
      <c r="AM115" s="558"/>
      <c r="AN115" s="558"/>
      <c r="AO115" s="558"/>
      <c r="AP115" s="1564">
        <v>11</v>
      </c>
    </row>
    <row r="116" spans="1:42" s="1564" customFormat="1" ht="11.45" customHeight="1">
      <c r="A116" s="914"/>
      <c r="B116" s="914"/>
      <c r="C116" s="914"/>
      <c r="D116" s="914"/>
      <c r="E116" s="914"/>
      <c r="F116" s="1559"/>
      <c r="G116" s="1559"/>
      <c r="H116" s="287"/>
      <c r="S116" s="1289"/>
      <c r="U116" s="1289"/>
      <c r="V116" s="1559"/>
      <c r="W116" s="1559"/>
      <c r="X116" s="1289"/>
      <c r="Y116" s="1289"/>
      <c r="Z116" s="1289"/>
      <c r="AA116" s="1289"/>
      <c r="AB116" s="1559"/>
      <c r="AC116" s="1289"/>
      <c r="AD116" s="1289"/>
      <c r="AE116" s="480"/>
      <c r="AF116" s="1289"/>
      <c r="AG116" s="1289"/>
      <c r="AH116" s="1289"/>
      <c r="AI116" s="1289"/>
      <c r="AJ116" s="1289"/>
      <c r="AK116" s="1555"/>
      <c r="AL116" s="558"/>
      <c r="AM116" s="558"/>
      <c r="AN116" s="558"/>
      <c r="AO116" s="558"/>
      <c r="AP116" s="1564">
        <v>11</v>
      </c>
    </row>
    <row r="117" spans="1:42" s="1564" customFormat="1" ht="11.45" customHeight="1">
      <c r="A117" s="914"/>
      <c r="B117" s="914"/>
      <c r="C117" s="914"/>
      <c r="D117" s="914"/>
      <c r="E117" s="914"/>
      <c r="F117" s="1559"/>
      <c r="G117" s="1559"/>
      <c r="H117" s="287"/>
      <c r="S117" s="1289"/>
      <c r="U117" s="1289"/>
      <c r="V117" s="1559"/>
      <c r="W117" s="1559"/>
      <c r="X117" s="1289"/>
      <c r="Y117" s="1289"/>
      <c r="Z117" s="1289"/>
      <c r="AA117" s="1289"/>
      <c r="AB117" s="1559"/>
      <c r="AC117" s="1289"/>
      <c r="AD117" s="1289"/>
      <c r="AE117" s="480"/>
      <c r="AF117" s="1289"/>
      <c r="AG117" s="1289"/>
      <c r="AH117" s="1289"/>
      <c r="AI117" s="1289"/>
      <c r="AJ117" s="1289"/>
      <c r="AK117" s="1555"/>
      <c r="AL117" s="558"/>
      <c r="AM117" s="558"/>
      <c r="AN117" s="558"/>
      <c r="AO117" s="558"/>
      <c r="AP117" s="1564">
        <v>11</v>
      </c>
    </row>
    <row r="118" spans="1:42" s="1564" customFormat="1" ht="11.45" customHeight="1">
      <c r="A118" s="914"/>
      <c r="B118" s="914"/>
      <c r="C118" s="914"/>
      <c r="D118" s="914"/>
      <c r="E118" s="914"/>
      <c r="F118" s="1559"/>
      <c r="G118" s="1559"/>
      <c r="H118" s="287"/>
      <c r="S118" s="1289"/>
      <c r="U118" s="1289"/>
      <c r="V118" s="1559"/>
      <c r="W118" s="1559"/>
      <c r="X118" s="1289"/>
      <c r="Y118" s="1289"/>
      <c r="Z118" s="1289"/>
      <c r="AA118" s="1289"/>
      <c r="AB118" s="1559"/>
      <c r="AC118" s="1289"/>
      <c r="AD118" s="1289"/>
      <c r="AE118" s="480"/>
      <c r="AF118" s="1289"/>
      <c r="AG118" s="1289"/>
      <c r="AH118" s="1289"/>
      <c r="AI118" s="1289"/>
      <c r="AJ118" s="1289"/>
      <c r="AK118" s="1555"/>
      <c r="AL118" s="558"/>
      <c r="AM118" s="558"/>
      <c r="AN118" s="558"/>
      <c r="AO118" s="558"/>
      <c r="AP118" s="1564">
        <v>11</v>
      </c>
    </row>
    <row r="119" spans="1:42" s="1564" customFormat="1" ht="11.45" customHeight="1">
      <c r="A119" s="914"/>
      <c r="B119" s="914"/>
      <c r="C119" s="914"/>
      <c r="D119" s="914"/>
      <c r="E119" s="914"/>
      <c r="F119" s="1559"/>
      <c r="G119" s="1559"/>
      <c r="H119" s="287"/>
      <c r="S119" s="1289"/>
      <c r="U119" s="1289"/>
      <c r="V119" s="1559"/>
      <c r="W119" s="1559"/>
      <c r="X119" s="1289"/>
      <c r="Y119" s="1289"/>
      <c r="Z119" s="1289"/>
      <c r="AA119" s="1289"/>
      <c r="AB119" s="1559"/>
      <c r="AC119" s="1289"/>
      <c r="AD119" s="1289"/>
      <c r="AE119" s="480"/>
      <c r="AF119" s="1289"/>
      <c r="AG119" s="1289"/>
      <c r="AH119" s="1289"/>
      <c r="AI119" s="1289"/>
      <c r="AJ119" s="1289"/>
      <c r="AK119" s="1555"/>
      <c r="AL119" s="558"/>
      <c r="AM119" s="558"/>
      <c r="AN119" s="558"/>
      <c r="AO119" s="558"/>
      <c r="AP119" s="1564">
        <v>11</v>
      </c>
    </row>
    <row r="120" spans="1:42" s="1564" customFormat="1" ht="11.45" customHeight="1">
      <c r="A120" s="914"/>
      <c r="B120" s="914"/>
      <c r="C120" s="914"/>
      <c r="D120" s="914"/>
      <c r="E120" s="914"/>
      <c r="F120" s="1559"/>
      <c r="G120" s="1559"/>
      <c r="H120" s="287"/>
      <c r="S120" s="1289"/>
      <c r="U120" s="1289"/>
      <c r="V120" s="1559"/>
      <c r="W120" s="1559"/>
      <c r="X120" s="1289"/>
      <c r="Y120" s="1289"/>
      <c r="Z120" s="1289"/>
      <c r="AA120" s="1289"/>
      <c r="AB120" s="1559"/>
      <c r="AC120" s="1289"/>
      <c r="AD120" s="1289"/>
      <c r="AE120" s="480"/>
      <c r="AF120" s="1289"/>
      <c r="AG120" s="1289"/>
      <c r="AH120" s="1289"/>
      <c r="AI120" s="1289"/>
      <c r="AJ120" s="1289"/>
      <c r="AK120" s="1555"/>
      <c r="AL120" s="558"/>
      <c r="AM120" s="558"/>
      <c r="AN120" s="558"/>
      <c r="AO120" s="558"/>
      <c r="AP120" s="1564">
        <v>11</v>
      </c>
    </row>
    <row r="121" spans="1:42" s="1564" customFormat="1" ht="11.45" customHeight="1">
      <c r="A121" s="914"/>
      <c r="B121" s="914"/>
      <c r="C121" s="914"/>
      <c r="D121" s="914"/>
      <c r="E121" s="914"/>
      <c r="F121" s="1559"/>
      <c r="G121" s="1559"/>
      <c r="H121" s="287"/>
      <c r="S121" s="1289"/>
      <c r="U121" s="1289"/>
      <c r="V121" s="1559"/>
      <c r="W121" s="1559"/>
      <c r="X121" s="1289"/>
      <c r="Y121" s="1289"/>
      <c r="Z121" s="1289"/>
      <c r="AA121" s="1289"/>
      <c r="AB121" s="1559"/>
      <c r="AC121" s="1289"/>
      <c r="AD121" s="1289"/>
      <c r="AE121" s="480"/>
      <c r="AF121" s="1289"/>
      <c r="AG121" s="1289"/>
      <c r="AH121" s="1289"/>
      <c r="AI121" s="1289"/>
      <c r="AJ121" s="1289"/>
      <c r="AK121" s="1555"/>
      <c r="AL121" s="558"/>
      <c r="AM121" s="558"/>
      <c r="AN121" s="558"/>
      <c r="AO121" s="558"/>
      <c r="AP121" s="1564">
        <v>11</v>
      </c>
    </row>
    <row r="122" spans="1:42" s="1564" customFormat="1" ht="11.45" customHeight="1">
      <c r="A122" s="914"/>
      <c r="B122" s="914"/>
      <c r="C122" s="914"/>
      <c r="D122" s="914"/>
      <c r="E122" s="914"/>
      <c r="F122" s="1559"/>
      <c r="G122" s="1559"/>
      <c r="H122" s="287"/>
      <c r="S122" s="1289"/>
      <c r="U122" s="1289"/>
      <c r="V122" s="1559"/>
      <c r="W122" s="1559"/>
      <c r="X122" s="1289"/>
      <c r="Y122" s="1289"/>
      <c r="Z122" s="1289"/>
      <c r="AA122" s="1289"/>
      <c r="AB122" s="1559"/>
      <c r="AC122" s="1289"/>
      <c r="AD122" s="1289"/>
      <c r="AE122" s="480"/>
      <c r="AF122" s="1289"/>
      <c r="AG122" s="1289"/>
      <c r="AH122" s="1289"/>
      <c r="AI122" s="1289"/>
      <c r="AJ122" s="1289"/>
      <c r="AK122" s="1555"/>
      <c r="AL122" s="558"/>
      <c r="AM122" s="558"/>
      <c r="AN122" s="558"/>
      <c r="AO122" s="558"/>
      <c r="AP122" s="1564">
        <v>11</v>
      </c>
    </row>
    <row r="123" spans="1:42" s="1564" customFormat="1" ht="11.45" customHeight="1">
      <c r="A123" s="914"/>
      <c r="B123" s="914"/>
      <c r="C123" s="914"/>
      <c r="D123" s="914"/>
      <c r="E123" s="914"/>
      <c r="F123" s="1559"/>
      <c r="G123" s="1559"/>
      <c r="H123" s="287"/>
      <c r="S123" s="1289"/>
      <c r="U123" s="1289"/>
      <c r="V123" s="1559"/>
      <c r="W123" s="1559"/>
      <c r="X123" s="1289"/>
      <c r="Y123" s="1289"/>
      <c r="Z123" s="1289"/>
      <c r="AA123" s="1289"/>
      <c r="AB123" s="1559"/>
      <c r="AC123" s="1289"/>
      <c r="AD123" s="1289"/>
      <c r="AE123" s="480"/>
      <c r="AF123" s="1289"/>
      <c r="AG123" s="1289"/>
      <c r="AH123" s="1289"/>
      <c r="AI123" s="1289"/>
      <c r="AJ123" s="1289"/>
      <c r="AK123" s="1555"/>
      <c r="AL123" s="558"/>
      <c r="AM123" s="558"/>
      <c r="AN123" s="558"/>
      <c r="AO123" s="558"/>
      <c r="AP123" s="1564">
        <v>11</v>
      </c>
    </row>
    <row r="124" spans="1:42" s="1564" customFormat="1" ht="11.45" customHeight="1">
      <c r="A124" s="914"/>
      <c r="B124" s="914"/>
      <c r="C124" s="914"/>
      <c r="D124" s="914"/>
      <c r="E124" s="914"/>
      <c r="F124" s="1559"/>
      <c r="G124" s="1559"/>
      <c r="H124" s="287"/>
      <c r="S124" s="1289"/>
      <c r="U124" s="1289"/>
      <c r="V124" s="1559"/>
      <c r="W124" s="1559"/>
      <c r="X124" s="1289"/>
      <c r="Y124" s="1289"/>
      <c r="Z124" s="1289"/>
      <c r="AA124" s="1289"/>
      <c r="AB124" s="1559"/>
      <c r="AC124" s="1289"/>
      <c r="AD124" s="1289"/>
      <c r="AE124" s="480"/>
      <c r="AF124" s="1289"/>
      <c r="AG124" s="1289"/>
      <c r="AH124" s="1289"/>
      <c r="AI124" s="1289"/>
      <c r="AJ124" s="1289"/>
      <c r="AK124" s="1555"/>
      <c r="AL124" s="558"/>
      <c r="AM124" s="558"/>
      <c r="AN124" s="558"/>
      <c r="AO124" s="558"/>
      <c r="AP124" s="1564">
        <v>11</v>
      </c>
    </row>
    <row r="125" spans="1:42" s="1564" customFormat="1" ht="11.45" customHeight="1">
      <c r="A125" s="914"/>
      <c r="B125" s="914"/>
      <c r="C125" s="914"/>
      <c r="D125" s="914"/>
      <c r="E125" s="914"/>
      <c r="F125" s="1559"/>
      <c r="G125" s="1559"/>
      <c r="H125" s="287"/>
      <c r="S125" s="1289"/>
      <c r="U125" s="1289"/>
      <c r="V125" s="1559"/>
      <c r="W125" s="1559"/>
      <c r="X125" s="1289"/>
      <c r="Y125" s="1289"/>
      <c r="Z125" s="1289"/>
      <c r="AA125" s="1289"/>
      <c r="AB125" s="1559"/>
      <c r="AC125" s="1289"/>
      <c r="AD125" s="1289"/>
      <c r="AE125" s="480"/>
      <c r="AF125" s="1289"/>
      <c r="AG125" s="1289"/>
      <c r="AH125" s="1289"/>
      <c r="AI125" s="1289"/>
      <c r="AJ125" s="1289"/>
      <c r="AK125" s="1555"/>
      <c r="AL125" s="558"/>
      <c r="AM125" s="558"/>
      <c r="AN125" s="558"/>
      <c r="AO125" s="558"/>
      <c r="AP125" s="1564">
        <v>11</v>
      </c>
    </row>
    <row r="126" spans="1:42" s="1564" customFormat="1" ht="11.45" customHeight="1">
      <c r="A126" s="914"/>
      <c r="B126" s="914"/>
      <c r="C126" s="914"/>
      <c r="D126" s="914"/>
      <c r="E126" s="914"/>
      <c r="F126" s="1559"/>
      <c r="G126" s="1559"/>
      <c r="H126" s="287"/>
      <c r="S126" s="1289"/>
      <c r="U126" s="1289"/>
      <c r="V126" s="1559"/>
      <c r="W126" s="1559"/>
      <c r="X126" s="1289"/>
      <c r="Y126" s="1289"/>
      <c r="Z126" s="1289"/>
      <c r="AA126" s="1289"/>
      <c r="AB126" s="1559"/>
      <c r="AC126" s="1289"/>
      <c r="AD126" s="1289"/>
      <c r="AE126" s="480"/>
      <c r="AF126" s="1289"/>
      <c r="AG126" s="1289"/>
      <c r="AH126" s="1289"/>
      <c r="AI126" s="1289"/>
      <c r="AJ126" s="1289"/>
      <c r="AK126" s="1555"/>
      <c r="AL126" s="558"/>
      <c r="AM126" s="558"/>
      <c r="AN126" s="558"/>
      <c r="AO126" s="558"/>
      <c r="AP126" s="1564">
        <v>11</v>
      </c>
    </row>
    <row r="127" spans="1:42" s="1564" customFormat="1" ht="11.45" customHeight="1">
      <c r="A127" s="914"/>
      <c r="B127" s="914"/>
      <c r="C127" s="914"/>
      <c r="D127" s="914"/>
      <c r="E127" s="914"/>
      <c r="F127" s="1559"/>
      <c r="G127" s="1559"/>
      <c r="H127" s="287"/>
      <c r="S127" s="1289"/>
      <c r="U127" s="1289"/>
      <c r="V127" s="1559"/>
      <c r="W127" s="1559"/>
      <c r="X127" s="1289"/>
      <c r="Y127" s="1289"/>
      <c r="Z127" s="1289"/>
      <c r="AA127" s="1289"/>
      <c r="AB127" s="1559"/>
      <c r="AC127" s="1289"/>
      <c r="AD127" s="1289"/>
      <c r="AE127" s="480"/>
      <c r="AF127" s="1289"/>
      <c r="AG127" s="1289"/>
      <c r="AH127" s="1289"/>
      <c r="AI127" s="1289"/>
      <c r="AJ127" s="1289"/>
      <c r="AK127" s="1555"/>
      <c r="AL127" s="558"/>
      <c r="AM127" s="558"/>
      <c r="AN127" s="558"/>
      <c r="AO127" s="558"/>
      <c r="AP127" s="1564">
        <v>11</v>
      </c>
    </row>
    <row r="128" spans="1:42" s="1564" customFormat="1" ht="11.45" customHeight="1">
      <c r="A128" s="914"/>
      <c r="B128" s="914"/>
      <c r="C128" s="914"/>
      <c r="D128" s="914"/>
      <c r="E128" s="914"/>
      <c r="F128" s="1559"/>
      <c r="G128" s="1559"/>
      <c r="H128" s="287"/>
      <c r="S128" s="1289"/>
      <c r="U128" s="1289"/>
      <c r="V128" s="1559"/>
      <c r="W128" s="1559"/>
      <c r="X128" s="1289"/>
      <c r="Y128" s="1289"/>
      <c r="Z128" s="1289"/>
      <c r="AA128" s="1289"/>
      <c r="AB128" s="1559"/>
      <c r="AC128" s="1289"/>
      <c r="AD128" s="1289"/>
      <c r="AE128" s="480"/>
      <c r="AF128" s="1289"/>
      <c r="AG128" s="1289"/>
      <c r="AH128" s="1289"/>
      <c r="AI128" s="1289"/>
      <c r="AJ128" s="1289"/>
      <c r="AK128" s="1555"/>
      <c r="AL128" s="558"/>
      <c r="AM128" s="558"/>
      <c r="AN128" s="558"/>
      <c r="AO128" s="558"/>
      <c r="AP128" s="1564">
        <v>11</v>
      </c>
    </row>
    <row r="129" spans="1:42" s="1564" customFormat="1" ht="11.45" customHeight="1">
      <c r="A129" s="914"/>
      <c r="B129" s="914"/>
      <c r="C129" s="914"/>
      <c r="D129" s="914"/>
      <c r="E129" s="914"/>
      <c r="F129" s="1559"/>
      <c r="G129" s="1559"/>
      <c r="H129" s="287"/>
      <c r="S129" s="1289"/>
      <c r="U129" s="1289"/>
      <c r="V129" s="1559"/>
      <c r="W129" s="1559"/>
      <c r="X129" s="1289"/>
      <c r="Y129" s="1289"/>
      <c r="Z129" s="1289"/>
      <c r="AA129" s="1289"/>
      <c r="AB129" s="1559"/>
      <c r="AC129" s="1289"/>
      <c r="AD129" s="1289"/>
      <c r="AE129" s="480"/>
      <c r="AF129" s="1289"/>
      <c r="AG129" s="1289"/>
      <c r="AH129" s="1289"/>
      <c r="AI129" s="1289"/>
      <c r="AJ129" s="1289"/>
      <c r="AK129" s="1555"/>
      <c r="AL129" s="558"/>
      <c r="AM129" s="558"/>
      <c r="AN129" s="558"/>
      <c r="AO129" s="558"/>
      <c r="AP129" s="1564">
        <v>11</v>
      </c>
    </row>
    <row r="130" spans="1:42" s="1564" customFormat="1" ht="11.45" customHeight="1">
      <c r="A130" s="914"/>
      <c r="B130" s="914"/>
      <c r="C130" s="914"/>
      <c r="D130" s="914"/>
      <c r="E130" s="914"/>
      <c r="F130" s="1559"/>
      <c r="G130" s="1559"/>
      <c r="H130" s="287"/>
      <c r="S130" s="1289"/>
      <c r="U130" s="1289"/>
      <c r="V130" s="1559"/>
      <c r="W130" s="1559"/>
      <c r="X130" s="1289"/>
      <c r="Y130" s="1289"/>
      <c r="Z130" s="1289"/>
      <c r="AA130" s="1289"/>
      <c r="AB130" s="1559"/>
      <c r="AC130" s="1289"/>
      <c r="AD130" s="1289"/>
      <c r="AE130" s="480"/>
      <c r="AF130" s="1289"/>
      <c r="AG130" s="1289"/>
      <c r="AH130" s="1289"/>
      <c r="AI130" s="1289"/>
      <c r="AJ130" s="1289"/>
      <c r="AK130" s="1555"/>
      <c r="AL130" s="558"/>
      <c r="AM130" s="558"/>
      <c r="AN130" s="558"/>
      <c r="AO130" s="558"/>
      <c r="AP130" s="1564">
        <v>11</v>
      </c>
    </row>
    <row r="131" spans="1:42" s="1564" customFormat="1" ht="11.45" customHeight="1">
      <c r="A131" s="914"/>
      <c r="B131" s="914"/>
      <c r="C131" s="914"/>
      <c r="D131" s="914"/>
      <c r="E131" s="914"/>
      <c r="F131" s="1559"/>
      <c r="G131" s="1559"/>
      <c r="H131" s="287"/>
      <c r="S131" s="1289"/>
      <c r="U131" s="1289"/>
      <c r="V131" s="1559"/>
      <c r="W131" s="1559"/>
      <c r="X131" s="1289"/>
      <c r="Y131" s="1289"/>
      <c r="Z131" s="1289"/>
      <c r="AA131" s="1289"/>
      <c r="AB131" s="1559"/>
      <c r="AC131" s="1289"/>
      <c r="AD131" s="1289"/>
      <c r="AE131" s="480"/>
      <c r="AF131" s="1289"/>
      <c r="AG131" s="1289"/>
      <c r="AH131" s="1289"/>
      <c r="AI131" s="1289"/>
      <c r="AJ131" s="1289"/>
      <c r="AK131" s="1555"/>
      <c r="AL131" s="558"/>
      <c r="AM131" s="558"/>
      <c r="AN131" s="558"/>
      <c r="AO131" s="558"/>
      <c r="AP131" s="1564">
        <v>11</v>
      </c>
    </row>
    <row r="132" spans="1:42" s="1564" customFormat="1" ht="11.45" customHeight="1">
      <c r="A132" s="914"/>
      <c r="B132" s="914"/>
      <c r="C132" s="914"/>
      <c r="D132" s="914"/>
      <c r="E132" s="914"/>
      <c r="F132" s="1559"/>
      <c r="G132" s="1559"/>
      <c r="H132" s="287"/>
      <c r="S132" s="1289"/>
      <c r="U132" s="1289"/>
      <c r="V132" s="1559"/>
      <c r="W132" s="1559"/>
      <c r="X132" s="1289"/>
      <c r="Y132" s="1289"/>
      <c r="Z132" s="1289"/>
      <c r="AA132" s="1289"/>
      <c r="AB132" s="1559"/>
      <c r="AC132" s="1289"/>
      <c r="AD132" s="1289"/>
      <c r="AE132" s="480"/>
      <c r="AF132" s="1289"/>
      <c r="AG132" s="1289"/>
      <c r="AH132" s="1289"/>
      <c r="AI132" s="1289"/>
      <c r="AJ132" s="1289"/>
      <c r="AK132" s="1555"/>
      <c r="AL132" s="558"/>
      <c r="AM132" s="558"/>
      <c r="AN132" s="558"/>
      <c r="AO132" s="558"/>
      <c r="AP132" s="1564">
        <v>11</v>
      </c>
    </row>
    <row r="133" spans="1:42" s="1564" customFormat="1" ht="11.45" customHeight="1">
      <c r="A133" s="914"/>
      <c r="B133" s="914"/>
      <c r="C133" s="914"/>
      <c r="D133" s="914"/>
      <c r="E133" s="914"/>
      <c r="F133" s="1559"/>
      <c r="G133" s="1559"/>
      <c r="H133" s="287"/>
      <c r="S133" s="1289"/>
      <c r="U133" s="1289"/>
      <c r="V133" s="1559"/>
      <c r="W133" s="1559"/>
      <c r="X133" s="1289"/>
      <c r="Y133" s="1289"/>
      <c r="Z133" s="1289"/>
      <c r="AA133" s="1289"/>
      <c r="AB133" s="1559"/>
      <c r="AC133" s="1289"/>
      <c r="AD133" s="1289"/>
      <c r="AE133" s="480"/>
      <c r="AF133" s="1289"/>
      <c r="AG133" s="1289"/>
      <c r="AH133" s="1289"/>
      <c r="AI133" s="1289"/>
      <c r="AJ133" s="1289"/>
      <c r="AK133" s="1555"/>
      <c r="AL133" s="558"/>
      <c r="AM133" s="558"/>
      <c r="AN133" s="558"/>
      <c r="AO133" s="558"/>
      <c r="AP133" s="1564">
        <v>11</v>
      </c>
    </row>
    <row r="134" spans="1:42" s="1564" customFormat="1" ht="11.45" customHeight="1">
      <c r="A134" s="914"/>
      <c r="B134" s="914"/>
      <c r="C134" s="914"/>
      <c r="D134" s="914"/>
      <c r="E134" s="914"/>
      <c r="F134" s="1559"/>
      <c r="G134" s="1559"/>
      <c r="H134" s="287"/>
      <c r="S134" s="1289"/>
      <c r="U134" s="1289"/>
      <c r="V134" s="1559"/>
      <c r="W134" s="1559"/>
      <c r="X134" s="1289"/>
      <c r="Y134" s="1289"/>
      <c r="Z134" s="1289"/>
      <c r="AA134" s="1289"/>
      <c r="AB134" s="1559"/>
      <c r="AC134" s="1289"/>
      <c r="AD134" s="1289"/>
      <c r="AE134" s="480"/>
      <c r="AF134" s="1289"/>
      <c r="AG134" s="1289"/>
      <c r="AH134" s="1289"/>
      <c r="AI134" s="1289"/>
      <c r="AJ134" s="1289"/>
      <c r="AK134" s="1555"/>
      <c r="AL134" s="558"/>
      <c r="AM134" s="558"/>
      <c r="AN134" s="558"/>
      <c r="AO134" s="558"/>
      <c r="AP134" s="1564">
        <v>11</v>
      </c>
    </row>
    <row r="135" spans="1:42" s="1564" customFormat="1" ht="11.45" customHeight="1">
      <c r="A135" s="914"/>
      <c r="B135" s="914"/>
      <c r="C135" s="914"/>
      <c r="D135" s="914"/>
      <c r="E135" s="914"/>
      <c r="F135" s="1559"/>
      <c r="G135" s="1559"/>
      <c r="H135" s="287"/>
      <c r="S135" s="1289"/>
      <c r="U135" s="1289"/>
      <c r="V135" s="1559"/>
      <c r="W135" s="1559"/>
      <c r="X135" s="1289"/>
      <c r="Y135" s="1289"/>
      <c r="Z135" s="1289"/>
      <c r="AA135" s="1289"/>
      <c r="AB135" s="1559"/>
      <c r="AC135" s="1289"/>
      <c r="AD135" s="1289"/>
      <c r="AE135" s="480"/>
      <c r="AF135" s="1289"/>
      <c r="AG135" s="1289"/>
      <c r="AH135" s="1289"/>
      <c r="AI135" s="1289"/>
      <c r="AJ135" s="1289"/>
      <c r="AK135" s="1555"/>
      <c r="AL135" s="558"/>
      <c r="AM135" s="558"/>
      <c r="AN135" s="558"/>
      <c r="AO135" s="558"/>
      <c r="AP135" s="1564">
        <v>11</v>
      </c>
    </row>
    <row r="136" spans="1:42" s="1564" customFormat="1" ht="11.45" customHeight="1">
      <c r="A136" s="914"/>
      <c r="B136" s="914"/>
      <c r="C136" s="914"/>
      <c r="D136" s="914"/>
      <c r="E136" s="914"/>
      <c r="F136" s="1559"/>
      <c r="G136" s="1559"/>
      <c r="H136" s="287"/>
      <c r="S136" s="1289"/>
      <c r="U136" s="1289"/>
      <c r="V136" s="1559"/>
      <c r="W136" s="1559"/>
      <c r="X136" s="1289"/>
      <c r="Y136" s="1289"/>
      <c r="Z136" s="1289"/>
      <c r="AA136" s="1289"/>
      <c r="AB136" s="1559"/>
      <c r="AC136" s="1289"/>
      <c r="AD136" s="1289"/>
      <c r="AE136" s="480"/>
      <c r="AF136" s="1289"/>
      <c r="AG136" s="1289"/>
      <c r="AH136" s="1289"/>
      <c r="AI136" s="1289"/>
      <c r="AJ136" s="1289"/>
      <c r="AK136" s="1555"/>
      <c r="AL136" s="558"/>
      <c r="AM136" s="558"/>
      <c r="AN136" s="558"/>
      <c r="AO136" s="558"/>
      <c r="AP136" s="1564">
        <v>11</v>
      </c>
    </row>
    <row r="137" spans="1:42" s="1564" customFormat="1" ht="11.45" customHeight="1">
      <c r="A137" s="914"/>
      <c r="B137" s="914"/>
      <c r="C137" s="914"/>
      <c r="D137" s="914"/>
      <c r="E137" s="914"/>
      <c r="F137" s="1559"/>
      <c r="G137" s="1559"/>
      <c r="H137" s="287"/>
      <c r="S137" s="1289"/>
      <c r="U137" s="1289"/>
      <c r="V137" s="1559"/>
      <c r="W137" s="1559"/>
      <c r="X137" s="1289"/>
      <c r="Y137" s="1289"/>
      <c r="Z137" s="1289"/>
      <c r="AA137" s="1289"/>
      <c r="AB137" s="1559"/>
      <c r="AC137" s="1289"/>
      <c r="AD137" s="1289"/>
      <c r="AE137" s="480"/>
      <c r="AF137" s="1289"/>
      <c r="AG137" s="1289"/>
      <c r="AH137" s="1289"/>
      <c r="AI137" s="1289"/>
      <c r="AJ137" s="1289"/>
      <c r="AK137" s="1555"/>
      <c r="AL137" s="558"/>
      <c r="AM137" s="558"/>
      <c r="AN137" s="558"/>
      <c r="AO137" s="558"/>
      <c r="AP137" s="1564">
        <v>11</v>
      </c>
    </row>
    <row r="138" spans="1:42" s="1564" customFormat="1" ht="11.45" customHeight="1">
      <c r="A138" s="914"/>
      <c r="B138" s="914"/>
      <c r="C138" s="914"/>
      <c r="D138" s="914"/>
      <c r="E138" s="914"/>
      <c r="F138" s="1559"/>
      <c r="G138" s="1559"/>
      <c r="H138" s="287"/>
      <c r="S138" s="1289"/>
      <c r="U138" s="1289"/>
      <c r="V138" s="1559"/>
      <c r="W138" s="1559"/>
      <c r="X138" s="1289"/>
      <c r="Y138" s="1289"/>
      <c r="Z138" s="1289"/>
      <c r="AA138" s="1289"/>
      <c r="AB138" s="1559"/>
      <c r="AC138" s="1289"/>
      <c r="AD138" s="1289"/>
      <c r="AE138" s="480"/>
      <c r="AF138" s="1289"/>
      <c r="AG138" s="1289"/>
      <c r="AH138" s="1289"/>
      <c r="AI138" s="1289"/>
      <c r="AJ138" s="1289"/>
      <c r="AK138" s="1555"/>
      <c r="AL138" s="558"/>
      <c r="AM138" s="558"/>
      <c r="AN138" s="558"/>
      <c r="AO138" s="558"/>
      <c r="AP138" s="1564">
        <v>11</v>
      </c>
    </row>
    <row r="139" spans="1:42" s="1564" customFormat="1" ht="11.45" customHeight="1">
      <c r="A139" s="914"/>
      <c r="B139" s="914"/>
      <c r="C139" s="914"/>
      <c r="D139" s="914"/>
      <c r="E139" s="914"/>
      <c r="F139" s="1559"/>
      <c r="G139" s="1559"/>
      <c r="H139" s="287"/>
      <c r="S139" s="1289"/>
      <c r="U139" s="1289"/>
      <c r="V139" s="1559"/>
      <c r="W139" s="1559"/>
      <c r="X139" s="1289"/>
      <c r="Y139" s="1289"/>
      <c r="Z139" s="1289"/>
      <c r="AA139" s="1289"/>
      <c r="AB139" s="1559"/>
      <c r="AC139" s="1289"/>
      <c r="AD139" s="1289"/>
      <c r="AE139" s="480"/>
      <c r="AF139" s="1289"/>
      <c r="AG139" s="1289"/>
      <c r="AH139" s="1289"/>
      <c r="AI139" s="1289"/>
      <c r="AJ139" s="1289"/>
      <c r="AK139" s="1555"/>
      <c r="AL139" s="558"/>
      <c r="AM139" s="558"/>
      <c r="AN139" s="558"/>
      <c r="AO139" s="558"/>
      <c r="AP139" s="1564">
        <v>11</v>
      </c>
    </row>
    <row r="140" spans="1:42" s="1564" customFormat="1" ht="11.45" customHeight="1">
      <c r="A140" s="914"/>
      <c r="B140" s="914"/>
      <c r="C140" s="914"/>
      <c r="D140" s="914"/>
      <c r="E140" s="914"/>
      <c r="F140" s="1559"/>
      <c r="G140" s="1559"/>
      <c r="H140" s="287"/>
      <c r="S140" s="1289"/>
      <c r="U140" s="1289"/>
      <c r="V140" s="1559"/>
      <c r="W140" s="1559"/>
      <c r="X140" s="1289"/>
      <c r="Y140" s="1289"/>
      <c r="Z140" s="1289"/>
      <c r="AA140" s="1289"/>
      <c r="AB140" s="1559"/>
      <c r="AC140" s="1289"/>
      <c r="AD140" s="1289"/>
      <c r="AE140" s="480"/>
      <c r="AF140" s="1289"/>
      <c r="AG140" s="1289"/>
      <c r="AH140" s="1289"/>
      <c r="AI140" s="1289"/>
      <c r="AJ140" s="1289"/>
      <c r="AK140" s="1555"/>
      <c r="AL140" s="558"/>
      <c r="AM140" s="558"/>
      <c r="AN140" s="558"/>
      <c r="AO140" s="558"/>
      <c r="AP140" s="1564">
        <v>11</v>
      </c>
    </row>
    <row r="141" spans="1:42" s="1564" customFormat="1" ht="11.45" customHeight="1">
      <c r="A141" s="914"/>
      <c r="B141" s="914"/>
      <c r="C141" s="914"/>
      <c r="D141" s="914"/>
      <c r="E141" s="914"/>
      <c r="F141" s="1559"/>
      <c r="G141" s="1559"/>
      <c r="H141" s="287"/>
      <c r="S141" s="1289"/>
      <c r="U141" s="1289"/>
      <c r="V141" s="1559"/>
      <c r="W141" s="1559"/>
      <c r="X141" s="1289"/>
      <c r="Y141" s="1289"/>
      <c r="Z141" s="1289"/>
      <c r="AA141" s="1289"/>
      <c r="AB141" s="1559"/>
      <c r="AC141" s="1289"/>
      <c r="AD141" s="1289"/>
      <c r="AE141" s="480"/>
      <c r="AF141" s="1289"/>
      <c r="AG141" s="1289"/>
      <c r="AH141" s="1289"/>
      <c r="AI141" s="1289"/>
      <c r="AJ141" s="1289"/>
      <c r="AK141" s="1555"/>
      <c r="AL141" s="558"/>
      <c r="AM141" s="558"/>
      <c r="AN141" s="558"/>
      <c r="AO141" s="558"/>
      <c r="AP141" s="1564">
        <v>11</v>
      </c>
    </row>
    <row r="142" spans="1:42" s="1564" customFormat="1" ht="11.45" customHeight="1">
      <c r="A142" s="914"/>
      <c r="B142" s="914"/>
      <c r="C142" s="914"/>
      <c r="D142" s="914"/>
      <c r="E142" s="914"/>
      <c r="F142" s="1559"/>
      <c r="G142" s="1559"/>
      <c r="H142" s="287"/>
      <c r="S142" s="1289"/>
      <c r="U142" s="1289"/>
      <c r="V142" s="1559"/>
      <c r="W142" s="1559"/>
      <c r="X142" s="1289"/>
      <c r="Y142" s="1289"/>
      <c r="Z142" s="1289"/>
      <c r="AA142" s="1289"/>
      <c r="AB142" s="1559"/>
      <c r="AC142" s="1289"/>
      <c r="AD142" s="1289"/>
      <c r="AE142" s="480"/>
      <c r="AF142" s="1289"/>
      <c r="AG142" s="1289"/>
      <c r="AH142" s="1289"/>
      <c r="AI142" s="1289"/>
      <c r="AJ142" s="1289"/>
      <c r="AK142" s="1555"/>
      <c r="AL142" s="558"/>
      <c r="AM142" s="558"/>
      <c r="AN142" s="558"/>
      <c r="AO142" s="558"/>
      <c r="AP142" s="1564">
        <v>11</v>
      </c>
    </row>
    <row r="143" spans="1:42" s="1564" customFormat="1" ht="11.45" customHeight="1">
      <c r="A143" s="914"/>
      <c r="B143" s="914"/>
      <c r="C143" s="914"/>
      <c r="D143" s="914"/>
      <c r="E143" s="914"/>
      <c r="F143" s="1559"/>
      <c r="G143" s="1559"/>
      <c r="H143" s="287"/>
      <c r="S143" s="1289"/>
      <c r="U143" s="1289"/>
      <c r="V143" s="1559"/>
      <c r="W143" s="1559"/>
      <c r="X143" s="1289"/>
      <c r="Y143" s="1289"/>
      <c r="Z143" s="1289"/>
      <c r="AA143" s="1289"/>
      <c r="AB143" s="1559"/>
      <c r="AC143" s="1289"/>
      <c r="AD143" s="1289"/>
      <c r="AE143" s="480"/>
      <c r="AF143" s="1289"/>
      <c r="AG143" s="1289"/>
      <c r="AH143" s="1289"/>
      <c r="AI143" s="1289"/>
      <c r="AJ143" s="1289"/>
      <c r="AK143" s="1555"/>
      <c r="AL143" s="558"/>
      <c r="AM143" s="558"/>
      <c r="AN143" s="558"/>
      <c r="AO143" s="558"/>
      <c r="AP143" s="1564">
        <v>11</v>
      </c>
    </row>
    <row r="144" spans="1:42" s="1564" customFormat="1" ht="11.45" customHeight="1">
      <c r="A144" s="914"/>
      <c r="B144" s="914"/>
      <c r="C144" s="914"/>
      <c r="D144" s="914"/>
      <c r="E144" s="914"/>
      <c r="F144" s="1559"/>
      <c r="G144" s="1559"/>
      <c r="H144" s="287"/>
      <c r="S144" s="1289"/>
      <c r="U144" s="1289"/>
      <c r="V144" s="1559"/>
      <c r="W144" s="1559"/>
      <c r="X144" s="1289"/>
      <c r="Y144" s="1289"/>
      <c r="Z144" s="1289"/>
      <c r="AA144" s="1289"/>
      <c r="AB144" s="1559"/>
      <c r="AC144" s="1289"/>
      <c r="AD144" s="1289"/>
      <c r="AE144" s="480"/>
      <c r="AF144" s="1289"/>
      <c r="AG144" s="1289"/>
      <c r="AH144" s="1289"/>
      <c r="AI144" s="1289"/>
      <c r="AJ144" s="1289"/>
      <c r="AK144" s="1555"/>
      <c r="AL144" s="558"/>
      <c r="AM144" s="558"/>
      <c r="AN144" s="558"/>
      <c r="AO144" s="558"/>
      <c r="AP144" s="1564">
        <v>11</v>
      </c>
    </row>
    <row r="145" spans="1:42" s="1564" customFormat="1" ht="11.45" customHeight="1">
      <c r="A145" s="914"/>
      <c r="B145" s="914"/>
      <c r="C145" s="914"/>
      <c r="D145" s="914"/>
      <c r="E145" s="914"/>
      <c r="F145" s="1559"/>
      <c r="G145" s="1559"/>
      <c r="H145" s="287"/>
      <c r="S145" s="1289"/>
      <c r="U145" s="1289"/>
      <c r="V145" s="1559"/>
      <c r="W145" s="1559"/>
      <c r="X145" s="1289"/>
      <c r="Y145" s="1289"/>
      <c r="Z145" s="1289"/>
      <c r="AA145" s="1289"/>
      <c r="AB145" s="1559"/>
      <c r="AC145" s="1289"/>
      <c r="AD145" s="1289"/>
      <c r="AE145" s="480"/>
      <c r="AF145" s="1289"/>
      <c r="AG145" s="1289"/>
      <c r="AH145" s="1289"/>
      <c r="AI145" s="1289"/>
      <c r="AJ145" s="1289"/>
      <c r="AK145" s="1555"/>
      <c r="AL145" s="558"/>
      <c r="AM145" s="558"/>
      <c r="AN145" s="558"/>
      <c r="AO145" s="558"/>
      <c r="AP145" s="1564">
        <v>11</v>
      </c>
    </row>
    <row r="146" spans="1:42" s="1564" customFormat="1" ht="11.45" customHeight="1">
      <c r="A146" s="914"/>
      <c r="B146" s="914"/>
      <c r="C146" s="914"/>
      <c r="D146" s="914"/>
      <c r="E146" s="914"/>
      <c r="F146" s="1559"/>
      <c r="G146" s="1559"/>
      <c r="H146" s="287"/>
      <c r="S146" s="1289"/>
      <c r="U146" s="1289"/>
      <c r="V146" s="1559"/>
      <c r="W146" s="1559"/>
      <c r="X146" s="1289"/>
      <c r="Y146" s="1289"/>
      <c r="Z146" s="1289"/>
      <c r="AA146" s="1289"/>
      <c r="AB146" s="1559"/>
      <c r="AC146" s="1289"/>
      <c r="AD146" s="1289"/>
      <c r="AE146" s="480"/>
      <c r="AF146" s="1289"/>
      <c r="AG146" s="1289"/>
      <c r="AH146" s="1289"/>
      <c r="AI146" s="1289"/>
      <c r="AJ146" s="1289"/>
      <c r="AK146" s="1555"/>
      <c r="AL146" s="558"/>
      <c r="AM146" s="558"/>
      <c r="AN146" s="558"/>
      <c r="AO146" s="558"/>
      <c r="AP146" s="1564">
        <v>11</v>
      </c>
    </row>
    <row r="147" spans="1:42" s="1564" customFormat="1" ht="11.45" customHeight="1">
      <c r="A147" s="914"/>
      <c r="B147" s="914"/>
      <c r="C147" s="914"/>
      <c r="D147" s="914"/>
      <c r="E147" s="914"/>
      <c r="F147" s="1559"/>
      <c r="G147" s="1559"/>
      <c r="H147" s="287"/>
      <c r="S147" s="1289"/>
      <c r="U147" s="1289"/>
      <c r="V147" s="1559"/>
      <c r="W147" s="1559"/>
      <c r="X147" s="1289"/>
      <c r="Y147" s="1289"/>
      <c r="Z147" s="1289"/>
      <c r="AA147" s="1289"/>
      <c r="AB147" s="1559"/>
      <c r="AC147" s="1289"/>
      <c r="AD147" s="1289"/>
      <c r="AE147" s="480"/>
      <c r="AF147" s="1289"/>
      <c r="AG147" s="1289"/>
      <c r="AH147" s="1289"/>
      <c r="AI147" s="1289"/>
      <c r="AJ147" s="1289"/>
      <c r="AK147" s="1555"/>
      <c r="AL147" s="558"/>
      <c r="AM147" s="558"/>
      <c r="AN147" s="558"/>
      <c r="AO147" s="558"/>
      <c r="AP147" s="1564">
        <v>11</v>
      </c>
    </row>
    <row r="148" spans="1:42" s="1564" customFormat="1" ht="11.45" customHeight="1">
      <c r="A148" s="914"/>
      <c r="B148" s="914"/>
      <c r="C148" s="914"/>
      <c r="D148" s="914"/>
      <c r="E148" s="914"/>
      <c r="F148" s="1559"/>
      <c r="G148" s="1559"/>
      <c r="H148" s="287"/>
      <c r="S148" s="1289"/>
      <c r="U148" s="1289"/>
      <c r="V148" s="1559"/>
      <c r="W148" s="1559"/>
      <c r="X148" s="1289"/>
      <c r="Y148" s="1289"/>
      <c r="Z148" s="1289"/>
      <c r="AA148" s="1289"/>
      <c r="AB148" s="1559"/>
      <c r="AC148" s="1289"/>
      <c r="AD148" s="1289"/>
      <c r="AE148" s="480"/>
      <c r="AF148" s="1289"/>
      <c r="AG148" s="1289"/>
      <c r="AH148" s="1289"/>
      <c r="AI148" s="1289"/>
      <c r="AJ148" s="1289"/>
      <c r="AK148" s="1555"/>
      <c r="AL148" s="558"/>
      <c r="AM148" s="558"/>
      <c r="AN148" s="558"/>
      <c r="AO148" s="558"/>
      <c r="AP148" s="1564">
        <v>11</v>
      </c>
    </row>
    <row r="149" spans="1:42" s="1564" customFormat="1" ht="11.45" customHeight="1">
      <c r="A149" s="914"/>
      <c r="B149" s="914"/>
      <c r="C149" s="914"/>
      <c r="D149" s="914"/>
      <c r="E149" s="914"/>
      <c r="F149" s="1559"/>
      <c r="G149" s="1559"/>
      <c r="H149" s="287"/>
      <c r="S149" s="1289"/>
      <c r="U149" s="1289"/>
      <c r="V149" s="1559"/>
      <c r="W149" s="1559"/>
      <c r="X149" s="1289"/>
      <c r="Y149" s="1289"/>
      <c r="Z149" s="1289"/>
      <c r="AA149" s="1289"/>
      <c r="AB149" s="1559"/>
      <c r="AC149" s="1289"/>
      <c r="AD149" s="1289"/>
      <c r="AE149" s="480"/>
      <c r="AF149" s="1289"/>
      <c r="AG149" s="1289"/>
      <c r="AH149" s="1289"/>
      <c r="AI149" s="1289"/>
      <c r="AJ149" s="1289"/>
      <c r="AK149" s="1555"/>
      <c r="AL149" s="558"/>
      <c r="AM149" s="558"/>
      <c r="AN149" s="558"/>
      <c r="AO149" s="558"/>
      <c r="AP149" s="1564">
        <v>11</v>
      </c>
    </row>
    <row r="150" spans="1:42" s="1564" customFormat="1" ht="11.45" customHeight="1">
      <c r="A150" s="914"/>
      <c r="B150" s="914"/>
      <c r="C150" s="914"/>
      <c r="D150" s="914"/>
      <c r="E150" s="914"/>
      <c r="F150" s="1559"/>
      <c r="G150" s="1559"/>
      <c r="H150" s="287"/>
      <c r="S150" s="1289"/>
      <c r="U150" s="1289"/>
      <c r="V150" s="1559"/>
      <c r="W150" s="1559"/>
      <c r="X150" s="1289"/>
      <c r="Y150" s="1289"/>
      <c r="Z150" s="1289"/>
      <c r="AA150" s="1289"/>
      <c r="AB150" s="1559"/>
      <c r="AC150" s="1289"/>
      <c r="AD150" s="1289"/>
      <c r="AE150" s="480"/>
      <c r="AF150" s="1289"/>
      <c r="AG150" s="1289"/>
      <c r="AH150" s="1289"/>
      <c r="AI150" s="1289"/>
      <c r="AJ150" s="1289"/>
      <c r="AK150" s="1555"/>
      <c r="AL150" s="558"/>
      <c r="AM150" s="558"/>
      <c r="AN150" s="558"/>
      <c r="AO150" s="558"/>
      <c r="AP150" s="1564">
        <v>11</v>
      </c>
    </row>
    <row r="151" spans="1:42" s="1564" customFormat="1" ht="11.45" customHeight="1">
      <c r="A151" s="914"/>
      <c r="B151" s="914"/>
      <c r="C151" s="914"/>
      <c r="D151" s="914"/>
      <c r="E151" s="914"/>
      <c r="F151" s="1559"/>
      <c r="G151" s="1559"/>
      <c r="H151" s="287"/>
      <c r="S151" s="1289"/>
      <c r="U151" s="1289"/>
      <c r="V151" s="1559"/>
      <c r="W151" s="1559"/>
      <c r="X151" s="1289"/>
      <c r="Y151" s="1289"/>
      <c r="Z151" s="1289"/>
      <c r="AA151" s="1289"/>
      <c r="AB151" s="1559"/>
      <c r="AC151" s="1289"/>
      <c r="AD151" s="1289"/>
      <c r="AE151" s="480"/>
      <c r="AF151" s="1289"/>
      <c r="AG151" s="1289"/>
      <c r="AH151" s="1289"/>
      <c r="AI151" s="1289"/>
      <c r="AJ151" s="1289"/>
      <c r="AK151" s="1555"/>
      <c r="AL151" s="558"/>
      <c r="AM151" s="558"/>
      <c r="AN151" s="558"/>
      <c r="AO151" s="558"/>
      <c r="AP151" s="1564">
        <v>11</v>
      </c>
    </row>
    <row r="152" spans="1:42" s="1564" customFormat="1" ht="11.45" customHeight="1">
      <c r="A152" s="914"/>
      <c r="B152" s="914"/>
      <c r="C152" s="914"/>
      <c r="D152" s="914"/>
      <c r="E152" s="914"/>
      <c r="F152" s="1559"/>
      <c r="G152" s="1559"/>
      <c r="H152" s="287"/>
      <c r="S152" s="1289"/>
      <c r="U152" s="1289"/>
      <c r="V152" s="1559"/>
      <c r="W152" s="1559"/>
      <c r="X152" s="1289"/>
      <c r="Y152" s="1289"/>
      <c r="Z152" s="1289"/>
      <c r="AA152" s="1289"/>
      <c r="AB152" s="1559"/>
      <c r="AC152" s="1289"/>
      <c r="AD152" s="1289"/>
      <c r="AE152" s="480"/>
      <c r="AF152" s="1289"/>
      <c r="AG152" s="1289"/>
      <c r="AH152" s="1289"/>
      <c r="AI152" s="1289"/>
      <c r="AJ152" s="1289"/>
      <c r="AK152" s="1555"/>
      <c r="AL152" s="558"/>
      <c r="AM152" s="558"/>
      <c r="AN152" s="558"/>
      <c r="AO152" s="558"/>
      <c r="AP152" s="1564">
        <v>11</v>
      </c>
    </row>
    <row r="153" spans="1:42" s="1564" customFormat="1" ht="11.45" customHeight="1">
      <c r="A153" s="914"/>
      <c r="B153" s="914"/>
      <c r="C153" s="914"/>
      <c r="D153" s="914"/>
      <c r="E153" s="914"/>
      <c r="F153" s="1559"/>
      <c r="G153" s="1559"/>
      <c r="H153" s="287"/>
      <c r="S153" s="1289"/>
      <c r="U153" s="1289"/>
      <c r="V153" s="1559"/>
      <c r="W153" s="1559"/>
      <c r="X153" s="1289"/>
      <c r="Y153" s="1289"/>
      <c r="Z153" s="1289"/>
      <c r="AA153" s="1289"/>
      <c r="AB153" s="1559"/>
      <c r="AC153" s="1289"/>
      <c r="AD153" s="1289"/>
      <c r="AE153" s="480"/>
      <c r="AF153" s="1289"/>
      <c r="AG153" s="1289"/>
      <c r="AH153" s="1289"/>
      <c r="AI153" s="1289"/>
      <c r="AJ153" s="1289"/>
      <c r="AK153" s="1555"/>
      <c r="AL153" s="558"/>
      <c r="AM153" s="558"/>
      <c r="AN153" s="558"/>
      <c r="AO153" s="558"/>
      <c r="AP153" s="1564">
        <v>11</v>
      </c>
    </row>
    <row r="154" spans="1:42" s="1564" customFormat="1" ht="11.45" customHeight="1">
      <c r="A154" s="914"/>
      <c r="B154" s="914"/>
      <c r="C154" s="914"/>
      <c r="D154" s="914"/>
      <c r="E154" s="914"/>
      <c r="F154" s="1559"/>
      <c r="G154" s="1559"/>
      <c r="H154" s="287"/>
      <c r="S154" s="1289"/>
      <c r="U154" s="1289"/>
      <c r="V154" s="1559"/>
      <c r="W154" s="1559"/>
      <c r="X154" s="1289"/>
      <c r="Y154" s="1289"/>
      <c r="Z154" s="1289"/>
      <c r="AA154" s="1289"/>
      <c r="AB154" s="1559"/>
      <c r="AC154" s="1289"/>
      <c r="AD154" s="1289"/>
      <c r="AE154" s="480"/>
      <c r="AF154" s="1289"/>
      <c r="AG154" s="1289"/>
      <c r="AH154" s="1289"/>
      <c r="AI154" s="1289"/>
      <c r="AJ154" s="1289"/>
      <c r="AK154" s="1555"/>
      <c r="AL154" s="558"/>
      <c r="AM154" s="558"/>
      <c r="AN154" s="558"/>
      <c r="AO154" s="558"/>
      <c r="AP154" s="1564">
        <v>11</v>
      </c>
    </row>
    <row r="155" spans="1:42" s="1564" customFormat="1" ht="11.45" customHeight="1">
      <c r="A155" s="914"/>
      <c r="B155" s="914"/>
      <c r="C155" s="914"/>
      <c r="D155" s="914"/>
      <c r="E155" s="914"/>
      <c r="F155" s="1559"/>
      <c r="G155" s="1559"/>
      <c r="H155" s="287"/>
      <c r="S155" s="1289"/>
      <c r="U155" s="1289"/>
      <c r="V155" s="1559"/>
      <c r="W155" s="1559"/>
      <c r="X155" s="1289"/>
      <c r="Y155" s="1289"/>
      <c r="Z155" s="1289"/>
      <c r="AA155" s="1289"/>
      <c r="AB155" s="1559"/>
      <c r="AC155" s="1289"/>
      <c r="AD155" s="1289"/>
      <c r="AE155" s="480"/>
      <c r="AF155" s="1289"/>
      <c r="AG155" s="1289"/>
      <c r="AH155" s="1289"/>
      <c r="AI155" s="1289"/>
      <c r="AJ155" s="1289"/>
      <c r="AK155" s="1555"/>
      <c r="AL155" s="558"/>
      <c r="AM155" s="558"/>
      <c r="AN155" s="558"/>
      <c r="AO155" s="558"/>
      <c r="AP155" s="1564">
        <v>11</v>
      </c>
    </row>
    <row r="156" spans="1:42" s="1564" customFormat="1" ht="11.45" customHeight="1">
      <c r="A156" s="914"/>
      <c r="B156" s="914"/>
      <c r="C156" s="914"/>
      <c r="D156" s="914"/>
      <c r="E156" s="914"/>
      <c r="F156" s="1559"/>
      <c r="G156" s="1559"/>
      <c r="H156" s="287"/>
      <c r="S156" s="1289"/>
      <c r="U156" s="1289"/>
      <c r="V156" s="1559"/>
      <c r="W156" s="1559"/>
      <c r="X156" s="1289"/>
      <c r="Y156" s="1289"/>
      <c r="Z156" s="1289"/>
      <c r="AA156" s="1289"/>
      <c r="AB156" s="1559"/>
      <c r="AC156" s="1289"/>
      <c r="AD156" s="1289"/>
      <c r="AE156" s="480"/>
      <c r="AF156" s="1289"/>
      <c r="AG156" s="1289"/>
      <c r="AH156" s="1289"/>
      <c r="AI156" s="1289"/>
      <c r="AJ156" s="1289"/>
      <c r="AK156" s="1555"/>
      <c r="AL156" s="558"/>
      <c r="AM156" s="558"/>
      <c r="AN156" s="558"/>
      <c r="AO156" s="558"/>
      <c r="AP156" s="1564">
        <v>11</v>
      </c>
    </row>
    <row r="157" spans="1:42" s="1564" customFormat="1" ht="11.45" customHeight="1">
      <c r="A157" s="914"/>
      <c r="B157" s="914"/>
      <c r="C157" s="914"/>
      <c r="D157" s="914"/>
      <c r="E157" s="914"/>
      <c r="F157" s="1559"/>
      <c r="G157" s="1559"/>
      <c r="H157" s="287"/>
      <c r="S157" s="1289"/>
      <c r="U157" s="1289"/>
      <c r="V157" s="1559"/>
      <c r="W157" s="1559"/>
      <c r="X157" s="1289"/>
      <c r="Y157" s="1289"/>
      <c r="Z157" s="1289"/>
      <c r="AA157" s="1289"/>
      <c r="AB157" s="1559"/>
      <c r="AC157" s="1289"/>
      <c r="AD157" s="1289"/>
      <c r="AE157" s="480"/>
      <c r="AF157" s="1289"/>
      <c r="AG157" s="1289"/>
      <c r="AH157" s="1289"/>
      <c r="AI157" s="1289"/>
      <c r="AJ157" s="1289"/>
      <c r="AK157" s="1555"/>
      <c r="AL157" s="558"/>
      <c r="AM157" s="558"/>
      <c r="AN157" s="558"/>
      <c r="AO157" s="558"/>
      <c r="AP157" s="1564">
        <v>11</v>
      </c>
    </row>
    <row r="158" spans="1:42" s="1564" customFormat="1" ht="11.45" customHeight="1">
      <c r="A158" s="914"/>
      <c r="B158" s="914"/>
      <c r="C158" s="914"/>
      <c r="D158" s="914"/>
      <c r="E158" s="914"/>
      <c r="F158" s="1559"/>
      <c r="G158" s="1559"/>
      <c r="H158" s="287"/>
      <c r="S158" s="1289"/>
      <c r="U158" s="1289"/>
      <c r="V158" s="1559"/>
      <c r="W158" s="1559"/>
      <c r="X158" s="1289"/>
      <c r="Y158" s="1289"/>
      <c r="Z158" s="1289"/>
      <c r="AA158" s="1289"/>
      <c r="AB158" s="1559"/>
      <c r="AC158" s="1289"/>
      <c r="AD158" s="1289"/>
      <c r="AE158" s="480"/>
      <c r="AF158" s="1289"/>
      <c r="AG158" s="1289"/>
      <c r="AH158" s="1289"/>
      <c r="AI158" s="1289"/>
      <c r="AJ158" s="1289"/>
      <c r="AK158" s="1555"/>
      <c r="AL158" s="558"/>
      <c r="AM158" s="558"/>
      <c r="AN158" s="558"/>
      <c r="AO158" s="558"/>
      <c r="AP158" s="1564">
        <v>11</v>
      </c>
    </row>
    <row r="159" spans="1:42" s="1564" customFormat="1" ht="11.45" customHeight="1">
      <c r="A159" s="914"/>
      <c r="B159" s="914"/>
      <c r="C159" s="914"/>
      <c r="D159" s="914"/>
      <c r="E159" s="914"/>
      <c r="F159" s="1559"/>
      <c r="G159" s="1559"/>
      <c r="H159" s="287"/>
      <c r="S159" s="1289"/>
      <c r="U159" s="1289"/>
      <c r="V159" s="1559"/>
      <c r="W159" s="1559"/>
      <c r="X159" s="1289"/>
      <c r="Y159" s="1289"/>
      <c r="Z159" s="1289"/>
      <c r="AA159" s="1289"/>
      <c r="AB159" s="1559"/>
      <c r="AC159" s="1289"/>
      <c r="AD159" s="1289"/>
      <c r="AE159" s="480"/>
      <c r="AF159" s="1289"/>
      <c r="AG159" s="1289"/>
      <c r="AH159" s="1289"/>
      <c r="AI159" s="1289"/>
      <c r="AJ159" s="1289"/>
      <c r="AK159" s="1555"/>
      <c r="AL159" s="558"/>
      <c r="AM159" s="558"/>
      <c r="AN159" s="558"/>
      <c r="AO159" s="558"/>
      <c r="AP159" s="1564">
        <v>11</v>
      </c>
    </row>
    <row r="160" spans="1:42" s="1564" customFormat="1" ht="11.45" customHeight="1">
      <c r="A160" s="914"/>
      <c r="B160" s="914"/>
      <c r="C160" s="914"/>
      <c r="D160" s="914"/>
      <c r="E160" s="914"/>
      <c r="F160" s="1559"/>
      <c r="G160" s="1559"/>
      <c r="H160" s="287"/>
      <c r="S160" s="1289"/>
      <c r="U160" s="1289"/>
      <c r="V160" s="1559"/>
      <c r="W160" s="1559"/>
      <c r="X160" s="1289"/>
      <c r="Y160" s="1289"/>
      <c r="Z160" s="1289"/>
      <c r="AA160" s="1289"/>
      <c r="AB160" s="1559"/>
      <c r="AC160" s="1289"/>
      <c r="AD160" s="1289"/>
      <c r="AE160" s="480"/>
      <c r="AF160" s="1289"/>
      <c r="AG160" s="1289"/>
      <c r="AH160" s="1289"/>
      <c r="AI160" s="1289"/>
      <c r="AJ160" s="1289"/>
      <c r="AK160" s="1555"/>
      <c r="AL160" s="558"/>
      <c r="AM160" s="558"/>
      <c r="AN160" s="558"/>
      <c r="AO160" s="558"/>
      <c r="AP160" s="1564">
        <v>11</v>
      </c>
    </row>
    <row r="161" spans="1:42" s="1564" customFormat="1" ht="11.45" customHeight="1">
      <c r="A161" s="914"/>
      <c r="B161" s="914"/>
      <c r="C161" s="914"/>
      <c r="D161" s="914"/>
      <c r="E161" s="914"/>
      <c r="F161" s="1559"/>
      <c r="G161" s="1559"/>
      <c r="H161" s="287"/>
      <c r="S161" s="1289"/>
      <c r="U161" s="1289"/>
      <c r="V161" s="1559"/>
      <c r="W161" s="1559"/>
      <c r="X161" s="1289"/>
      <c r="Y161" s="1289"/>
      <c r="Z161" s="1289"/>
      <c r="AA161" s="1289"/>
      <c r="AB161" s="1559"/>
      <c r="AC161" s="1289"/>
      <c r="AD161" s="1289"/>
      <c r="AE161" s="480"/>
      <c r="AF161" s="1289"/>
      <c r="AG161" s="1289"/>
      <c r="AH161" s="1289"/>
      <c r="AI161" s="1289"/>
      <c r="AJ161" s="1289"/>
      <c r="AK161" s="1555"/>
      <c r="AL161" s="558"/>
      <c r="AM161" s="558"/>
      <c r="AN161" s="558"/>
      <c r="AO161" s="558"/>
      <c r="AP161" s="1564">
        <v>11</v>
      </c>
    </row>
    <row r="162" spans="1:42" s="1564" customFormat="1" ht="11.45" customHeight="1">
      <c r="A162" s="914"/>
      <c r="B162" s="914"/>
      <c r="C162" s="914"/>
      <c r="D162" s="914"/>
      <c r="E162" s="914"/>
      <c r="F162" s="1559"/>
      <c r="G162" s="1559"/>
      <c r="H162" s="287"/>
      <c r="S162" s="1289"/>
      <c r="U162" s="1289"/>
      <c r="V162" s="1559"/>
      <c r="W162" s="1559"/>
      <c r="X162" s="1289"/>
      <c r="Y162" s="1289"/>
      <c r="Z162" s="1289"/>
      <c r="AA162" s="1289"/>
      <c r="AB162" s="1559"/>
      <c r="AC162" s="1289"/>
      <c r="AD162" s="1289"/>
      <c r="AE162" s="480"/>
      <c r="AF162" s="1289"/>
      <c r="AG162" s="1289"/>
      <c r="AH162" s="1289"/>
      <c r="AI162" s="1289"/>
      <c r="AJ162" s="1289"/>
      <c r="AK162" s="1555"/>
      <c r="AL162" s="558"/>
      <c r="AM162" s="558"/>
      <c r="AN162" s="558"/>
      <c r="AO162" s="558"/>
      <c r="AP162" s="1564">
        <v>11</v>
      </c>
    </row>
    <row r="163" spans="1:42" s="1564" customFormat="1" ht="11.45" customHeight="1">
      <c r="A163" s="914"/>
      <c r="B163" s="914"/>
      <c r="C163" s="914"/>
      <c r="D163" s="914"/>
      <c r="E163" s="914"/>
      <c r="F163" s="1559"/>
      <c r="G163" s="1559"/>
      <c r="H163" s="287"/>
      <c r="S163" s="1289"/>
      <c r="U163" s="1289"/>
      <c r="V163" s="1559"/>
      <c r="W163" s="1559"/>
      <c r="X163" s="1289"/>
      <c r="Y163" s="1289"/>
      <c r="Z163" s="1289"/>
      <c r="AA163" s="1289"/>
      <c r="AB163" s="1559"/>
      <c r="AC163" s="1289"/>
      <c r="AD163" s="1289"/>
      <c r="AE163" s="480"/>
      <c r="AF163" s="1289"/>
      <c r="AG163" s="1289"/>
      <c r="AH163" s="1289"/>
      <c r="AI163" s="1289"/>
      <c r="AJ163" s="1289"/>
      <c r="AK163" s="1555"/>
      <c r="AL163" s="558"/>
      <c r="AM163" s="558"/>
      <c r="AN163" s="558"/>
      <c r="AO163" s="558"/>
      <c r="AP163" s="1564">
        <v>11</v>
      </c>
    </row>
    <row r="164" spans="1:42" s="1564" customFormat="1" ht="11.45" customHeight="1">
      <c r="A164" s="914"/>
      <c r="B164" s="914"/>
      <c r="C164" s="914"/>
      <c r="D164" s="914"/>
      <c r="E164" s="914"/>
      <c r="F164" s="1559"/>
      <c r="G164" s="1559"/>
      <c r="H164" s="287"/>
      <c r="S164" s="1289"/>
      <c r="U164" s="1289"/>
      <c r="V164" s="1559"/>
      <c r="W164" s="1559"/>
      <c r="X164" s="1289"/>
      <c r="Y164" s="1289"/>
      <c r="Z164" s="1289"/>
      <c r="AA164" s="1289"/>
      <c r="AB164" s="1559"/>
      <c r="AC164" s="1289"/>
      <c r="AD164" s="1289"/>
      <c r="AE164" s="480"/>
      <c r="AF164" s="1289"/>
      <c r="AG164" s="1289"/>
      <c r="AH164" s="1289"/>
      <c r="AI164" s="1289"/>
      <c r="AJ164" s="1289"/>
      <c r="AK164" s="1555"/>
      <c r="AL164" s="558"/>
      <c r="AM164" s="558"/>
      <c r="AN164" s="558"/>
      <c r="AO164" s="558"/>
      <c r="AP164" s="1564">
        <v>11</v>
      </c>
    </row>
    <row r="165" spans="1:42" s="1564" customFormat="1" ht="11.45" customHeight="1">
      <c r="A165" s="914"/>
      <c r="B165" s="914"/>
      <c r="C165" s="914"/>
      <c r="D165" s="914"/>
      <c r="E165" s="914"/>
      <c r="F165" s="1559"/>
      <c r="G165" s="1559"/>
      <c r="H165" s="287"/>
      <c r="S165" s="1289"/>
      <c r="U165" s="1289"/>
      <c r="V165" s="1559"/>
      <c r="W165" s="1559"/>
      <c r="X165" s="1289"/>
      <c r="Y165" s="1289"/>
      <c r="Z165" s="1289"/>
      <c r="AA165" s="1289"/>
      <c r="AB165" s="1559"/>
      <c r="AC165" s="1289"/>
      <c r="AD165" s="1289"/>
      <c r="AE165" s="480"/>
      <c r="AF165" s="1289"/>
      <c r="AG165" s="1289"/>
      <c r="AH165" s="1289"/>
      <c r="AI165" s="1289"/>
      <c r="AJ165" s="1289"/>
      <c r="AK165" s="1555"/>
      <c r="AL165" s="558"/>
      <c r="AM165" s="558"/>
      <c r="AN165" s="558"/>
      <c r="AO165" s="558"/>
      <c r="AP165" s="1564">
        <v>11</v>
      </c>
    </row>
    <row r="166" spans="1:42" s="1564" customFormat="1" ht="11.45" customHeight="1">
      <c r="A166" s="914"/>
      <c r="B166" s="914"/>
      <c r="C166" s="914"/>
      <c r="D166" s="914"/>
      <c r="E166" s="914"/>
      <c r="F166" s="1559"/>
      <c r="G166" s="1559"/>
      <c r="H166" s="287"/>
      <c r="S166" s="1289"/>
      <c r="U166" s="1289"/>
      <c r="V166" s="1559"/>
      <c r="W166" s="1559"/>
      <c r="X166" s="1289"/>
      <c r="Y166" s="1289"/>
      <c r="Z166" s="1289"/>
      <c r="AA166" s="1289"/>
      <c r="AB166" s="1559"/>
      <c r="AC166" s="1289"/>
      <c r="AD166" s="1289"/>
      <c r="AE166" s="480"/>
      <c r="AF166" s="1289"/>
      <c r="AG166" s="1289"/>
      <c r="AH166" s="1289"/>
      <c r="AI166" s="1289"/>
      <c r="AJ166" s="1289"/>
      <c r="AK166" s="1555"/>
      <c r="AL166" s="558"/>
      <c r="AM166" s="558"/>
      <c r="AN166" s="558"/>
      <c r="AO166" s="558"/>
      <c r="AP166" s="1564">
        <v>11</v>
      </c>
    </row>
    <row r="167" spans="1:42" s="1564" customFormat="1" ht="11.45" customHeight="1">
      <c r="A167" s="914"/>
      <c r="B167" s="914"/>
      <c r="C167" s="914"/>
      <c r="D167" s="914"/>
      <c r="E167" s="914"/>
      <c r="F167" s="1559"/>
      <c r="G167" s="1559"/>
      <c r="H167" s="287"/>
      <c r="S167" s="1289"/>
      <c r="U167" s="1289"/>
      <c r="V167" s="1559"/>
      <c r="W167" s="1559"/>
      <c r="X167" s="1289"/>
      <c r="Y167" s="1289"/>
      <c r="Z167" s="1289"/>
      <c r="AA167" s="1289"/>
      <c r="AB167" s="1559"/>
      <c r="AC167" s="1289"/>
      <c r="AD167" s="1289"/>
      <c r="AE167" s="480"/>
      <c r="AF167" s="1289"/>
      <c r="AG167" s="1289"/>
      <c r="AH167" s="1289"/>
      <c r="AI167" s="1289"/>
      <c r="AJ167" s="1289"/>
      <c r="AK167" s="1555"/>
      <c r="AL167" s="558"/>
      <c r="AM167" s="558"/>
      <c r="AN167" s="558"/>
      <c r="AO167" s="558"/>
      <c r="AP167" s="1564">
        <v>11</v>
      </c>
    </row>
    <row r="168" spans="1:42" s="1564" customFormat="1" ht="11.45" customHeight="1">
      <c r="A168" s="914"/>
      <c r="B168" s="914"/>
      <c r="C168" s="914"/>
      <c r="D168" s="914"/>
      <c r="E168" s="914"/>
      <c r="F168" s="1559"/>
      <c r="G168" s="1559"/>
      <c r="H168" s="287"/>
      <c r="S168" s="1289"/>
      <c r="U168" s="1289"/>
      <c r="V168" s="1559"/>
      <c r="W168" s="1559"/>
      <c r="X168" s="1289"/>
      <c r="Y168" s="1289"/>
      <c r="Z168" s="1289"/>
      <c r="AA168" s="1289"/>
      <c r="AB168" s="1559"/>
      <c r="AC168" s="1289"/>
      <c r="AD168" s="1289"/>
      <c r="AE168" s="480"/>
      <c r="AF168" s="1289"/>
      <c r="AG168" s="1289"/>
      <c r="AH168" s="1289"/>
      <c r="AI168" s="1289"/>
      <c r="AJ168" s="1289"/>
      <c r="AK168" s="1555"/>
      <c r="AL168" s="558"/>
      <c r="AM168" s="558"/>
      <c r="AN168" s="558"/>
      <c r="AO168" s="558"/>
      <c r="AP168" s="1564">
        <v>11</v>
      </c>
    </row>
    <row r="169" spans="1:42" s="1564" customFormat="1" ht="11.45" customHeight="1">
      <c r="A169" s="914"/>
      <c r="B169" s="914"/>
      <c r="C169" s="914"/>
      <c r="D169" s="914"/>
      <c r="E169" s="914"/>
      <c r="F169" s="1559"/>
      <c r="G169" s="1559"/>
      <c r="H169" s="287"/>
      <c r="S169" s="1289"/>
      <c r="U169" s="1289"/>
      <c r="V169" s="1559"/>
      <c r="W169" s="1559"/>
      <c r="X169" s="1289"/>
      <c r="Y169" s="1289"/>
      <c r="Z169" s="1289"/>
      <c r="AA169" s="1289"/>
      <c r="AB169" s="1559"/>
      <c r="AC169" s="1289"/>
      <c r="AD169" s="1289"/>
      <c r="AE169" s="480"/>
      <c r="AF169" s="1289"/>
      <c r="AG169" s="1289"/>
      <c r="AH169" s="1289"/>
      <c r="AI169" s="1289"/>
      <c r="AJ169" s="1289"/>
      <c r="AK169" s="1555"/>
      <c r="AL169" s="558"/>
      <c r="AM169" s="558"/>
      <c r="AN169" s="558"/>
      <c r="AO169" s="558"/>
      <c r="AP169" s="1564">
        <v>11</v>
      </c>
    </row>
    <row r="170" spans="1:42" s="1564" customFormat="1" ht="11.45" customHeight="1">
      <c r="A170" s="914"/>
      <c r="B170" s="914"/>
      <c r="C170" s="914"/>
      <c r="D170" s="914"/>
      <c r="E170" s="914"/>
      <c r="F170" s="1559"/>
      <c r="G170" s="1559"/>
      <c r="H170" s="287"/>
      <c r="S170" s="1289"/>
      <c r="U170" s="1289"/>
      <c r="V170" s="1559"/>
      <c r="W170" s="1559"/>
      <c r="X170" s="1289"/>
      <c r="Y170" s="1289"/>
      <c r="Z170" s="1289"/>
      <c r="AA170" s="1289"/>
      <c r="AB170" s="1559"/>
      <c r="AC170" s="1289"/>
      <c r="AD170" s="1289"/>
      <c r="AE170" s="480"/>
      <c r="AF170" s="1289"/>
      <c r="AG170" s="1289"/>
      <c r="AH170" s="1289"/>
      <c r="AI170" s="1289"/>
      <c r="AJ170" s="1289"/>
      <c r="AK170" s="1555"/>
      <c r="AL170" s="558"/>
      <c r="AM170" s="558"/>
      <c r="AN170" s="558"/>
      <c r="AO170" s="558"/>
      <c r="AP170" s="1564">
        <v>11</v>
      </c>
    </row>
    <row r="171" spans="1:42" s="1564" customFormat="1" ht="11.45" customHeight="1">
      <c r="A171" s="914"/>
      <c r="B171" s="914"/>
      <c r="C171" s="914"/>
      <c r="D171" s="914"/>
      <c r="E171" s="914"/>
      <c r="F171" s="1559"/>
      <c r="G171" s="1559"/>
      <c r="H171" s="287"/>
      <c r="S171" s="1289"/>
      <c r="U171" s="1289"/>
      <c r="V171" s="1559"/>
      <c r="W171" s="1559"/>
      <c r="X171" s="1289"/>
      <c r="Y171" s="1289"/>
      <c r="Z171" s="1289"/>
      <c r="AA171" s="1289"/>
      <c r="AB171" s="1559"/>
      <c r="AC171" s="1289"/>
      <c r="AD171" s="1289"/>
      <c r="AE171" s="480"/>
      <c r="AF171" s="1289"/>
      <c r="AG171" s="1289"/>
      <c r="AH171" s="1289"/>
      <c r="AI171" s="1289"/>
      <c r="AJ171" s="1289"/>
      <c r="AK171" s="1555"/>
      <c r="AL171" s="558"/>
      <c r="AM171" s="558"/>
      <c r="AN171" s="558"/>
      <c r="AO171" s="558"/>
      <c r="AP171" s="1564">
        <v>11</v>
      </c>
    </row>
    <row r="172" spans="1:42" s="1564" customFormat="1" ht="11.45" customHeight="1">
      <c r="A172" s="914"/>
      <c r="B172" s="914"/>
      <c r="C172" s="914"/>
      <c r="D172" s="914"/>
      <c r="E172" s="914"/>
      <c r="F172" s="1559"/>
      <c r="G172" s="1559"/>
      <c r="H172" s="287"/>
      <c r="S172" s="1289"/>
      <c r="U172" s="1289"/>
      <c r="V172" s="1559"/>
      <c r="W172" s="1559"/>
      <c r="X172" s="1289"/>
      <c r="Y172" s="1289"/>
      <c r="Z172" s="1289"/>
      <c r="AA172" s="1289"/>
      <c r="AB172" s="1559"/>
      <c r="AC172" s="1289"/>
      <c r="AD172" s="1289"/>
      <c r="AE172" s="480"/>
      <c r="AF172" s="1289"/>
      <c r="AG172" s="1289"/>
      <c r="AH172" s="1289"/>
      <c r="AI172" s="1289"/>
      <c r="AJ172" s="1289"/>
      <c r="AK172" s="1555"/>
      <c r="AL172" s="558"/>
      <c r="AM172" s="558"/>
      <c r="AN172" s="558"/>
      <c r="AO172" s="558"/>
      <c r="AP172" s="1564">
        <v>11</v>
      </c>
    </row>
    <row r="173" spans="1:42" s="1564" customFormat="1" ht="11.45" customHeight="1">
      <c r="A173" s="914"/>
      <c r="B173" s="914"/>
      <c r="C173" s="914"/>
      <c r="D173" s="914"/>
      <c r="E173" s="914"/>
      <c r="F173" s="1559"/>
      <c r="G173" s="1559"/>
      <c r="H173" s="287"/>
      <c r="S173" s="1289"/>
      <c r="U173" s="1289"/>
      <c r="V173" s="1559"/>
      <c r="W173" s="1559"/>
      <c r="X173" s="1289"/>
      <c r="Y173" s="1289"/>
      <c r="Z173" s="1289"/>
      <c r="AA173" s="1289"/>
      <c r="AB173" s="1559"/>
      <c r="AC173" s="1289"/>
      <c r="AD173" s="1289"/>
      <c r="AE173" s="480"/>
      <c r="AF173" s="1289"/>
      <c r="AG173" s="1289"/>
      <c r="AH173" s="1289"/>
      <c r="AI173" s="1289"/>
      <c r="AJ173" s="1289"/>
      <c r="AK173" s="1555"/>
      <c r="AL173" s="558"/>
      <c r="AM173" s="558"/>
      <c r="AN173" s="558"/>
      <c r="AO173" s="558"/>
      <c r="AP173" s="1564">
        <v>11</v>
      </c>
    </row>
    <row r="174" spans="1:42" s="1564" customFormat="1" ht="11.45" customHeight="1">
      <c r="A174" s="914"/>
      <c r="B174" s="914"/>
      <c r="C174" s="914"/>
      <c r="D174" s="914"/>
      <c r="E174" s="914"/>
      <c r="F174" s="1559"/>
      <c r="G174" s="1559"/>
      <c r="H174" s="287"/>
      <c r="S174" s="1289"/>
      <c r="U174" s="1289"/>
      <c r="V174" s="1559"/>
      <c r="W174" s="1559"/>
      <c r="X174" s="1289"/>
      <c r="Y174" s="1289"/>
      <c r="Z174" s="1289"/>
      <c r="AA174" s="1289"/>
      <c r="AB174" s="1559"/>
      <c r="AC174" s="1289"/>
      <c r="AD174" s="1289"/>
      <c r="AE174" s="480"/>
      <c r="AF174" s="1289"/>
      <c r="AG174" s="1289"/>
      <c r="AH174" s="1289"/>
      <c r="AI174" s="1289"/>
      <c r="AJ174" s="1289"/>
      <c r="AK174" s="1555"/>
      <c r="AL174" s="558"/>
      <c r="AM174" s="558"/>
      <c r="AN174" s="558"/>
      <c r="AO174" s="558"/>
      <c r="AP174" s="1564">
        <v>11</v>
      </c>
    </row>
    <row r="175" spans="1:42" s="1564" customFormat="1" ht="11.45" customHeight="1">
      <c r="A175" s="914"/>
      <c r="B175" s="914"/>
      <c r="C175" s="914"/>
      <c r="D175" s="914"/>
      <c r="E175" s="914"/>
      <c r="F175" s="1559"/>
      <c r="G175" s="1559"/>
      <c r="H175" s="287"/>
      <c r="S175" s="1289"/>
      <c r="U175" s="1289"/>
      <c r="V175" s="1559"/>
      <c r="W175" s="1559"/>
      <c r="X175" s="1289"/>
      <c r="Y175" s="1289"/>
      <c r="Z175" s="1289"/>
      <c r="AA175" s="1289"/>
      <c r="AB175" s="1559"/>
      <c r="AC175" s="1289"/>
      <c r="AD175" s="1289"/>
      <c r="AE175" s="480"/>
      <c r="AF175" s="1289"/>
      <c r="AG175" s="1289"/>
      <c r="AH175" s="1289"/>
      <c r="AI175" s="1289"/>
      <c r="AJ175" s="1289"/>
      <c r="AK175" s="1555"/>
      <c r="AL175" s="558"/>
      <c r="AM175" s="558"/>
      <c r="AN175" s="558"/>
      <c r="AO175" s="558"/>
      <c r="AP175" s="1564">
        <v>11</v>
      </c>
    </row>
    <row r="176" spans="1:42" s="1564" customFormat="1" ht="11.45" customHeight="1">
      <c r="A176" s="914"/>
      <c r="B176" s="914"/>
      <c r="C176" s="914"/>
      <c r="D176" s="914"/>
      <c r="E176" s="914"/>
      <c r="F176" s="1559"/>
      <c r="G176" s="1559"/>
      <c r="H176" s="287"/>
      <c r="S176" s="1289"/>
      <c r="U176" s="1289"/>
      <c r="V176" s="1559"/>
      <c r="W176" s="1559"/>
      <c r="X176" s="1289"/>
      <c r="Y176" s="1289"/>
      <c r="Z176" s="1289"/>
      <c r="AA176" s="1289"/>
      <c r="AB176" s="1559"/>
      <c r="AC176" s="1289"/>
      <c r="AD176" s="1289"/>
      <c r="AE176" s="480"/>
      <c r="AF176" s="1289"/>
      <c r="AG176" s="1289"/>
      <c r="AH176" s="1289"/>
      <c r="AI176" s="1289"/>
      <c r="AJ176" s="1289"/>
      <c r="AK176" s="1555"/>
      <c r="AL176" s="558"/>
      <c r="AM176" s="558"/>
      <c r="AN176" s="558"/>
      <c r="AO176" s="558"/>
      <c r="AP176" s="1564">
        <v>11</v>
      </c>
    </row>
    <row r="177" spans="1:42" s="1564" customFormat="1" ht="11.45" customHeight="1">
      <c r="A177" s="914"/>
      <c r="B177" s="914"/>
      <c r="C177" s="914"/>
      <c r="D177" s="914"/>
      <c r="E177" s="914"/>
      <c r="F177" s="1559"/>
      <c r="G177" s="1559"/>
      <c r="H177" s="287"/>
      <c r="S177" s="1289"/>
      <c r="U177" s="1289"/>
      <c r="V177" s="1559"/>
      <c r="W177" s="1559"/>
      <c r="X177" s="1289"/>
      <c r="Y177" s="1289"/>
      <c r="Z177" s="1289"/>
      <c r="AA177" s="1289"/>
      <c r="AB177" s="1559"/>
      <c r="AC177" s="1289"/>
      <c r="AD177" s="1289"/>
      <c r="AE177" s="480"/>
      <c r="AF177" s="1289"/>
      <c r="AG177" s="1289"/>
      <c r="AH177" s="1289"/>
      <c r="AI177" s="1289"/>
      <c r="AJ177" s="1289"/>
      <c r="AK177" s="1555"/>
      <c r="AL177" s="558"/>
      <c r="AM177" s="558"/>
      <c r="AN177" s="558"/>
      <c r="AO177" s="558"/>
      <c r="AP177" s="1564">
        <v>11</v>
      </c>
    </row>
    <row r="178" spans="1:42" s="1564" customFormat="1" ht="11.45" customHeight="1">
      <c r="A178" s="914"/>
      <c r="B178" s="914"/>
      <c r="C178" s="914"/>
      <c r="D178" s="914"/>
      <c r="E178" s="914"/>
      <c r="F178" s="1559"/>
      <c r="G178" s="1559"/>
      <c r="H178" s="287"/>
      <c r="S178" s="1289"/>
      <c r="U178" s="1289"/>
      <c r="V178" s="1559"/>
      <c r="W178" s="1559"/>
      <c r="X178" s="1289"/>
      <c r="Y178" s="1289"/>
      <c r="Z178" s="1289"/>
      <c r="AA178" s="1289"/>
      <c r="AB178" s="1559"/>
      <c r="AC178" s="1289"/>
      <c r="AD178" s="1289"/>
      <c r="AE178" s="480"/>
      <c r="AF178" s="1289"/>
      <c r="AG178" s="1289"/>
      <c r="AH178" s="1289"/>
      <c r="AI178" s="1289"/>
      <c r="AJ178" s="1289"/>
      <c r="AK178" s="1555"/>
      <c r="AL178" s="558"/>
      <c r="AM178" s="558"/>
      <c r="AN178" s="558"/>
      <c r="AO178" s="558"/>
      <c r="AP178" s="1564">
        <v>11</v>
      </c>
    </row>
    <row r="179" spans="1:42" s="1564" customFormat="1" ht="11.45" customHeight="1">
      <c r="A179" s="914"/>
      <c r="B179" s="914"/>
      <c r="C179" s="914"/>
      <c r="D179" s="914"/>
      <c r="E179" s="914"/>
      <c r="F179" s="1559"/>
      <c r="G179" s="1559"/>
      <c r="H179" s="287"/>
      <c r="S179" s="1289"/>
      <c r="U179" s="1289"/>
      <c r="V179" s="1559"/>
      <c r="W179" s="1559"/>
      <c r="X179" s="1289"/>
      <c r="Y179" s="1289"/>
      <c r="Z179" s="1289"/>
      <c r="AA179" s="1289"/>
      <c r="AB179" s="1559"/>
      <c r="AC179" s="1289"/>
      <c r="AD179" s="1289"/>
      <c r="AE179" s="480"/>
      <c r="AF179" s="1289"/>
      <c r="AG179" s="1289"/>
      <c r="AH179" s="1289"/>
      <c r="AI179" s="1289"/>
      <c r="AJ179" s="1289"/>
      <c r="AK179" s="1555"/>
      <c r="AL179" s="558"/>
      <c r="AM179" s="558"/>
      <c r="AN179" s="558"/>
      <c r="AO179" s="558"/>
      <c r="AP179" s="1564">
        <v>11</v>
      </c>
    </row>
    <row r="180" spans="1:42" s="1564" customFormat="1" ht="11.45" customHeight="1">
      <c r="A180" s="914"/>
      <c r="B180" s="914"/>
      <c r="C180" s="914"/>
      <c r="D180" s="914"/>
      <c r="E180" s="914"/>
      <c r="F180" s="1559"/>
      <c r="G180" s="1559"/>
      <c r="H180" s="287"/>
      <c r="S180" s="1289"/>
      <c r="U180" s="1289"/>
      <c r="V180" s="1559"/>
      <c r="W180" s="1559"/>
      <c r="X180" s="1289"/>
      <c r="Y180" s="1289"/>
      <c r="Z180" s="1289"/>
      <c r="AA180" s="1289"/>
      <c r="AB180" s="1559"/>
      <c r="AC180" s="1289"/>
      <c r="AD180" s="1289"/>
      <c r="AE180" s="480"/>
      <c r="AF180" s="1289"/>
      <c r="AG180" s="1289"/>
      <c r="AH180" s="1289"/>
      <c r="AI180" s="1289"/>
      <c r="AJ180" s="1289"/>
      <c r="AK180" s="1555"/>
      <c r="AL180" s="558"/>
      <c r="AM180" s="558"/>
      <c r="AN180" s="558"/>
      <c r="AO180" s="558"/>
      <c r="AP180" s="1564">
        <v>11</v>
      </c>
    </row>
    <row r="181" spans="1:42" s="1564" customFormat="1" ht="11.45" customHeight="1">
      <c r="A181" s="914"/>
      <c r="B181" s="914"/>
      <c r="C181" s="914"/>
      <c r="D181" s="914"/>
      <c r="E181" s="914"/>
      <c r="F181" s="1559"/>
      <c r="G181" s="1559"/>
      <c r="H181" s="287"/>
      <c r="S181" s="1289"/>
      <c r="U181" s="1289"/>
      <c r="V181" s="1559"/>
      <c r="W181" s="1559"/>
      <c r="X181" s="1289"/>
      <c r="Y181" s="1289"/>
      <c r="Z181" s="1289"/>
      <c r="AA181" s="1289"/>
      <c r="AB181" s="1559"/>
      <c r="AC181" s="1289"/>
      <c r="AD181" s="1289"/>
      <c r="AE181" s="480"/>
      <c r="AF181" s="1289"/>
      <c r="AG181" s="1289"/>
      <c r="AH181" s="1289"/>
      <c r="AI181" s="1289"/>
      <c r="AJ181" s="1289"/>
      <c r="AK181" s="1555"/>
      <c r="AL181" s="558"/>
      <c r="AM181" s="558"/>
      <c r="AN181" s="558"/>
      <c r="AO181" s="558"/>
      <c r="AP181" s="1564">
        <v>11</v>
      </c>
    </row>
    <row r="182" spans="1:42" s="1564" customFormat="1" ht="11.45" customHeight="1">
      <c r="A182" s="914"/>
      <c r="B182" s="914"/>
      <c r="C182" s="914"/>
      <c r="D182" s="914"/>
      <c r="E182" s="914"/>
      <c r="F182" s="1559"/>
      <c r="G182" s="1559"/>
      <c r="H182" s="287"/>
      <c r="S182" s="1289"/>
      <c r="U182" s="1289"/>
      <c r="V182" s="1559"/>
      <c r="W182" s="1559"/>
      <c r="X182" s="1289"/>
      <c r="Y182" s="1289"/>
      <c r="Z182" s="1289"/>
      <c r="AA182" s="1289"/>
      <c r="AB182" s="1559"/>
      <c r="AC182" s="1289"/>
      <c r="AD182" s="1289"/>
      <c r="AE182" s="480"/>
      <c r="AF182" s="1289"/>
      <c r="AG182" s="1289"/>
      <c r="AH182" s="1289"/>
      <c r="AI182" s="1289"/>
      <c r="AJ182" s="1289"/>
      <c r="AK182" s="1555"/>
      <c r="AL182" s="558"/>
      <c r="AM182" s="558"/>
      <c r="AN182" s="558"/>
      <c r="AO182" s="558"/>
      <c r="AP182" s="1564">
        <v>11</v>
      </c>
    </row>
    <row r="183" spans="1:42" s="1564" customFormat="1" ht="11.45" customHeight="1">
      <c r="A183" s="914"/>
      <c r="B183" s="914"/>
      <c r="C183" s="914"/>
      <c r="D183" s="914"/>
      <c r="E183" s="914"/>
      <c r="F183" s="1559"/>
      <c r="G183" s="1559"/>
      <c r="H183" s="287"/>
      <c r="S183" s="1289"/>
      <c r="U183" s="1289"/>
      <c r="V183" s="1559"/>
      <c r="W183" s="1559"/>
      <c r="X183" s="1289"/>
      <c r="Y183" s="1289"/>
      <c r="Z183" s="1289"/>
      <c r="AA183" s="1289"/>
      <c r="AB183" s="1559"/>
      <c r="AC183" s="1289"/>
      <c r="AD183" s="1289"/>
      <c r="AE183" s="480"/>
      <c r="AF183" s="1289"/>
      <c r="AG183" s="1289"/>
      <c r="AH183" s="1289"/>
      <c r="AI183" s="1289"/>
      <c r="AJ183" s="1289"/>
      <c r="AK183" s="1555"/>
      <c r="AL183" s="558"/>
      <c r="AM183" s="558"/>
      <c r="AN183" s="558"/>
      <c r="AO183" s="558"/>
      <c r="AP183" s="1564">
        <v>11</v>
      </c>
    </row>
    <row r="184" spans="1:42" s="1564" customFormat="1" ht="11.45" customHeight="1">
      <c r="A184" s="914"/>
      <c r="B184" s="914"/>
      <c r="C184" s="914"/>
      <c r="D184" s="914"/>
      <c r="E184" s="914"/>
      <c r="F184" s="1559"/>
      <c r="G184" s="1559"/>
      <c r="H184" s="287"/>
      <c r="S184" s="1289"/>
      <c r="U184" s="1289"/>
      <c r="V184" s="1559"/>
      <c r="W184" s="1559"/>
      <c r="X184" s="1289"/>
      <c r="Y184" s="1289"/>
      <c r="Z184" s="1289"/>
      <c r="AA184" s="1289"/>
      <c r="AB184" s="1559"/>
      <c r="AC184" s="1289"/>
      <c r="AD184" s="1289"/>
      <c r="AE184" s="480"/>
      <c r="AF184" s="1289"/>
      <c r="AG184" s="1289"/>
      <c r="AH184" s="1289"/>
      <c r="AI184" s="1289"/>
      <c r="AJ184" s="1289"/>
      <c r="AK184" s="1555"/>
      <c r="AL184" s="558"/>
      <c r="AM184" s="558"/>
      <c r="AN184" s="558"/>
      <c r="AO184" s="558"/>
      <c r="AP184" s="1564">
        <v>11</v>
      </c>
    </row>
    <row r="185" spans="1:42" s="1564" customFormat="1" ht="11.45" customHeight="1">
      <c r="A185" s="914"/>
      <c r="B185" s="914"/>
      <c r="C185" s="914"/>
      <c r="D185" s="914"/>
      <c r="E185" s="914"/>
      <c r="F185" s="1559"/>
      <c r="G185" s="1559"/>
      <c r="H185" s="287"/>
      <c r="S185" s="1289"/>
      <c r="U185" s="1289"/>
      <c r="V185" s="1559"/>
      <c r="W185" s="1559"/>
      <c r="X185" s="1289"/>
      <c r="Y185" s="1289"/>
      <c r="Z185" s="1289"/>
      <c r="AA185" s="1289"/>
      <c r="AB185" s="1559"/>
      <c r="AC185" s="1289"/>
      <c r="AD185" s="1289"/>
      <c r="AE185" s="480"/>
      <c r="AF185" s="1289"/>
      <c r="AG185" s="1289"/>
      <c r="AH185" s="1289"/>
      <c r="AI185" s="1289"/>
      <c r="AJ185" s="1289"/>
      <c r="AK185" s="1555"/>
      <c r="AL185" s="558"/>
      <c r="AM185" s="558"/>
      <c r="AN185" s="558"/>
      <c r="AO185" s="558"/>
      <c r="AP185" s="1564">
        <v>11</v>
      </c>
    </row>
    <row r="186" spans="1:42" s="1564" customFormat="1" ht="11.45" customHeight="1">
      <c r="A186" s="914"/>
      <c r="B186" s="914"/>
      <c r="C186" s="914"/>
      <c r="D186" s="914"/>
      <c r="E186" s="914"/>
      <c r="F186" s="1559"/>
      <c r="G186" s="1559"/>
      <c r="H186" s="287"/>
      <c r="S186" s="1289"/>
      <c r="U186" s="1289"/>
      <c r="V186" s="1559"/>
      <c r="W186" s="1559"/>
      <c r="X186" s="1289"/>
      <c r="Y186" s="1289"/>
      <c r="Z186" s="1289"/>
      <c r="AA186" s="1289"/>
      <c r="AB186" s="1559"/>
      <c r="AC186" s="1289"/>
      <c r="AD186" s="1289"/>
      <c r="AE186" s="480"/>
      <c r="AF186" s="1289"/>
      <c r="AG186" s="1289"/>
      <c r="AH186" s="1289"/>
      <c r="AI186" s="1289"/>
      <c r="AJ186" s="1289"/>
      <c r="AK186" s="1555"/>
      <c r="AL186" s="558"/>
      <c r="AM186" s="558"/>
      <c r="AN186" s="558"/>
      <c r="AO186" s="558"/>
      <c r="AP186" s="1564">
        <v>11</v>
      </c>
    </row>
    <row r="187" spans="1:42" s="1564" customFormat="1" ht="11.45" customHeight="1">
      <c r="A187" s="914"/>
      <c r="B187" s="914"/>
      <c r="C187" s="914"/>
      <c r="D187" s="914"/>
      <c r="E187" s="914"/>
      <c r="F187" s="1559"/>
      <c r="G187" s="1559"/>
      <c r="H187" s="287"/>
      <c r="S187" s="1289"/>
      <c r="U187" s="1289"/>
      <c r="V187" s="1559"/>
      <c r="W187" s="1559"/>
      <c r="X187" s="1289"/>
      <c r="Y187" s="1289"/>
      <c r="Z187" s="1289"/>
      <c r="AA187" s="1289"/>
      <c r="AB187" s="1559"/>
      <c r="AC187" s="1289"/>
      <c r="AD187" s="1289"/>
      <c r="AE187" s="480"/>
      <c r="AF187" s="1289"/>
      <c r="AG187" s="1289"/>
      <c r="AH187" s="1289"/>
      <c r="AI187" s="1289"/>
      <c r="AJ187" s="1289"/>
      <c r="AK187" s="1555"/>
      <c r="AL187" s="558"/>
      <c r="AM187" s="558"/>
      <c r="AN187" s="558"/>
      <c r="AO187" s="558"/>
      <c r="AP187" s="1564">
        <v>11</v>
      </c>
    </row>
    <row r="188" spans="1:42" s="1564" customFormat="1" ht="11.45" customHeight="1">
      <c r="A188" s="914"/>
      <c r="B188" s="914"/>
      <c r="C188" s="914"/>
      <c r="D188" s="914"/>
      <c r="E188" s="914"/>
      <c r="F188" s="1559"/>
      <c r="G188" s="1559"/>
      <c r="H188" s="287"/>
      <c r="S188" s="1289"/>
      <c r="U188" s="1289"/>
      <c r="V188" s="1559"/>
      <c r="W188" s="1559"/>
      <c r="X188" s="1289"/>
      <c r="Y188" s="1289"/>
      <c r="Z188" s="1289"/>
      <c r="AA188" s="1289"/>
      <c r="AB188" s="1559"/>
      <c r="AC188" s="1289"/>
      <c r="AD188" s="1289"/>
      <c r="AE188" s="480"/>
      <c r="AF188" s="1289"/>
      <c r="AG188" s="1289"/>
      <c r="AH188" s="1289"/>
      <c r="AI188" s="1289"/>
      <c r="AJ188" s="1289"/>
      <c r="AK188" s="1555"/>
      <c r="AL188" s="558"/>
      <c r="AM188" s="558"/>
      <c r="AN188" s="558"/>
      <c r="AO188" s="558"/>
      <c r="AP188" s="1564">
        <v>11</v>
      </c>
    </row>
    <row r="189" spans="1:42" s="1564" customFormat="1" ht="11.45" customHeight="1">
      <c r="A189" s="914"/>
      <c r="B189" s="914"/>
      <c r="C189" s="914"/>
      <c r="D189" s="914"/>
      <c r="E189" s="914"/>
      <c r="F189" s="1559"/>
      <c r="G189" s="1559"/>
      <c r="H189" s="287"/>
      <c r="S189" s="1289"/>
      <c r="U189" s="1289"/>
      <c r="V189" s="1559"/>
      <c r="W189" s="1559"/>
      <c r="X189" s="1289"/>
      <c r="Y189" s="1289"/>
      <c r="Z189" s="1289"/>
      <c r="AA189" s="1289"/>
      <c r="AB189" s="1559"/>
      <c r="AC189" s="1289"/>
      <c r="AD189" s="1289"/>
      <c r="AE189" s="480"/>
      <c r="AF189" s="1289"/>
      <c r="AG189" s="1289"/>
      <c r="AH189" s="1289"/>
      <c r="AI189" s="1289"/>
      <c r="AJ189" s="1289"/>
      <c r="AK189" s="1555"/>
      <c r="AL189" s="558"/>
      <c r="AM189" s="558"/>
      <c r="AN189" s="558"/>
      <c r="AO189" s="558"/>
      <c r="AP189" s="1564">
        <v>11</v>
      </c>
    </row>
    <row r="190" spans="1:42" ht="11.45" customHeight="1">
      <c r="AP190" s="1554">
        <v>11</v>
      </c>
    </row>
    <row r="191" spans="1:42" ht="11.45" customHeight="1">
      <c r="AP191" s="1554">
        <v>11</v>
      </c>
    </row>
    <row r="192" spans="1:42" ht="11.45" customHeight="1">
      <c r="AP192" s="1554">
        <v>11</v>
      </c>
    </row>
    <row r="193" spans="1:42" ht="11.45" customHeight="1">
      <c r="A193" s="917"/>
      <c r="B193" s="917"/>
      <c r="C193" s="917"/>
      <c r="D193" s="917"/>
      <c r="E193" s="917"/>
      <c r="F193" s="1554"/>
      <c r="H193" s="1554"/>
      <c r="S193" s="1554"/>
      <c r="U193" s="1554"/>
      <c r="X193" s="1554"/>
      <c r="Y193" s="1554"/>
      <c r="Z193" s="1554"/>
      <c r="AA193" s="1554"/>
      <c r="AC193" s="1554"/>
      <c r="AD193" s="1554"/>
      <c r="AE193" s="1554"/>
      <c r="AF193" s="1554"/>
      <c r="AG193" s="1554"/>
      <c r="AH193" s="1554"/>
      <c r="AI193" s="1554"/>
      <c r="AJ193" s="1554"/>
      <c r="AK193" s="1554"/>
      <c r="AL193" s="1554"/>
      <c r="AM193" s="1554"/>
      <c r="AN193" s="1554"/>
      <c r="AO193" s="1554"/>
      <c r="AP193" s="1554">
        <v>11</v>
      </c>
    </row>
    <row r="194" spans="1:42" ht="11.45" customHeight="1">
      <c r="A194" s="917"/>
      <c r="B194" s="917"/>
      <c r="C194" s="917"/>
      <c r="D194" s="917"/>
      <c r="E194" s="917"/>
      <c r="F194" s="1554"/>
      <c r="H194" s="1554"/>
      <c r="S194" s="1554"/>
      <c r="U194" s="1554"/>
      <c r="X194" s="1554"/>
      <c r="Y194" s="1554"/>
      <c r="Z194" s="1554"/>
      <c r="AA194" s="1554"/>
      <c r="AC194" s="1554"/>
      <c r="AD194" s="1554"/>
      <c r="AE194" s="1554"/>
      <c r="AF194" s="1554"/>
      <c r="AG194" s="1554"/>
      <c r="AH194" s="1554"/>
      <c r="AI194" s="1554"/>
      <c r="AJ194" s="1554"/>
      <c r="AK194" s="1554"/>
      <c r="AL194" s="1554"/>
      <c r="AM194" s="1554"/>
      <c r="AN194" s="1554"/>
      <c r="AO194" s="1554"/>
      <c r="AP194" s="1554">
        <v>11</v>
      </c>
    </row>
    <row r="195" spans="1:42" ht="11.45" customHeight="1">
      <c r="A195" s="917"/>
      <c r="B195" s="917"/>
      <c r="C195" s="917"/>
      <c r="D195" s="917"/>
      <c r="E195" s="917"/>
      <c r="F195" s="1554"/>
      <c r="H195" s="1554"/>
      <c r="S195" s="1554"/>
      <c r="U195" s="1554"/>
      <c r="X195" s="1554"/>
      <c r="Y195" s="1554"/>
      <c r="Z195" s="1554"/>
      <c r="AA195" s="1554"/>
      <c r="AC195" s="1554"/>
      <c r="AD195" s="1554"/>
      <c r="AE195" s="1554"/>
      <c r="AF195" s="1554"/>
      <c r="AG195" s="1554"/>
      <c r="AH195" s="1554"/>
      <c r="AI195" s="1554"/>
      <c r="AJ195" s="1554"/>
      <c r="AK195" s="1554"/>
      <c r="AL195" s="1554"/>
      <c r="AM195" s="1554"/>
      <c r="AN195" s="1554"/>
      <c r="AO195" s="1554"/>
      <c r="AP195" s="1554">
        <v>11</v>
      </c>
    </row>
    <row r="196" spans="1:42" ht="11.45" customHeight="1">
      <c r="A196" s="917"/>
      <c r="B196" s="917"/>
      <c r="C196" s="917"/>
      <c r="D196" s="917"/>
      <c r="E196" s="917"/>
      <c r="F196" s="1554"/>
      <c r="H196" s="1554"/>
      <c r="S196" s="1554"/>
      <c r="U196" s="1554"/>
      <c r="X196" s="1554"/>
      <c r="Y196" s="1554"/>
      <c r="Z196" s="1554"/>
      <c r="AA196" s="1554"/>
      <c r="AC196" s="1554"/>
      <c r="AD196" s="1554"/>
      <c r="AE196" s="1554"/>
      <c r="AF196" s="1554"/>
      <c r="AG196" s="1554"/>
      <c r="AH196" s="1554"/>
      <c r="AI196" s="1554"/>
      <c r="AJ196" s="1554"/>
      <c r="AK196" s="1554"/>
      <c r="AL196" s="1554"/>
      <c r="AM196" s="1554"/>
      <c r="AN196" s="1554"/>
      <c r="AO196" s="1554"/>
      <c r="AP196" s="1554">
        <v>11</v>
      </c>
    </row>
    <row r="197" spans="1:42" ht="11.45" customHeight="1">
      <c r="A197" s="917"/>
      <c r="B197" s="917"/>
      <c r="C197" s="917"/>
      <c r="D197" s="917"/>
      <c r="E197" s="917"/>
      <c r="F197" s="1554"/>
      <c r="H197" s="1554"/>
      <c r="S197" s="1554"/>
      <c r="U197" s="1554"/>
      <c r="X197" s="1554"/>
      <c r="Y197" s="1554"/>
      <c r="Z197" s="1554"/>
      <c r="AA197" s="1554"/>
      <c r="AC197" s="1554"/>
      <c r="AD197" s="1554"/>
      <c r="AE197" s="1554"/>
      <c r="AF197" s="1554"/>
      <c r="AG197" s="1554"/>
      <c r="AH197" s="1554"/>
      <c r="AI197" s="1554"/>
      <c r="AJ197" s="1554"/>
      <c r="AK197" s="1554"/>
      <c r="AL197" s="1554"/>
      <c r="AM197" s="1554"/>
      <c r="AN197" s="1554"/>
      <c r="AO197" s="1554"/>
      <c r="AP197" s="1554">
        <v>11</v>
      </c>
    </row>
    <row r="198" spans="1:42" ht="11.45" customHeight="1">
      <c r="A198" s="917"/>
      <c r="B198" s="917"/>
      <c r="C198" s="917"/>
      <c r="D198" s="917"/>
      <c r="E198" s="917"/>
      <c r="F198" s="1554"/>
      <c r="H198" s="1554"/>
      <c r="S198" s="1554"/>
      <c r="U198" s="1554"/>
      <c r="X198" s="1554"/>
      <c r="Y198" s="1554"/>
      <c r="Z198" s="1554"/>
      <c r="AA198" s="1554"/>
      <c r="AC198" s="1554"/>
      <c r="AD198" s="1554"/>
      <c r="AE198" s="1554"/>
      <c r="AF198" s="1554"/>
      <c r="AG198" s="1554"/>
      <c r="AH198" s="1554"/>
      <c r="AI198" s="1554"/>
      <c r="AJ198" s="1554"/>
      <c r="AK198" s="1554"/>
      <c r="AL198" s="1554"/>
      <c r="AM198" s="1554"/>
      <c r="AN198" s="1554"/>
      <c r="AO198" s="1554"/>
      <c r="AP198" s="1554">
        <v>11</v>
      </c>
    </row>
    <row r="199" spans="1:42" ht="11.45" customHeight="1">
      <c r="A199" s="917"/>
      <c r="B199" s="917"/>
      <c r="C199" s="917"/>
      <c r="D199" s="917"/>
      <c r="E199" s="917"/>
      <c r="F199" s="1554"/>
      <c r="H199" s="1554"/>
      <c r="S199" s="1554"/>
      <c r="U199" s="1554"/>
      <c r="X199" s="1554"/>
      <c r="Y199" s="1554"/>
      <c r="Z199" s="1554"/>
      <c r="AA199" s="1554"/>
      <c r="AC199" s="1554"/>
      <c r="AD199" s="1554"/>
      <c r="AE199" s="1554"/>
      <c r="AF199" s="1554"/>
      <c r="AG199" s="1554"/>
      <c r="AH199" s="1554"/>
      <c r="AI199" s="1554"/>
      <c r="AJ199" s="1554"/>
      <c r="AK199" s="1554"/>
      <c r="AL199" s="1554"/>
      <c r="AM199" s="1554"/>
      <c r="AN199" s="1554"/>
      <c r="AO199" s="1554"/>
      <c r="AP199" s="1554">
        <v>11</v>
      </c>
    </row>
    <row r="200" spans="1:42" ht="11.45" customHeight="1">
      <c r="A200" s="917"/>
      <c r="B200" s="917"/>
      <c r="C200" s="917"/>
      <c r="D200" s="917"/>
      <c r="E200" s="917"/>
      <c r="F200" s="1554"/>
      <c r="H200" s="1554"/>
      <c r="S200" s="1554"/>
      <c r="U200" s="1554"/>
      <c r="X200" s="1554"/>
      <c r="Y200" s="1554"/>
      <c r="Z200" s="1554"/>
      <c r="AA200" s="1554"/>
      <c r="AC200" s="1554"/>
      <c r="AD200" s="1554"/>
      <c r="AE200" s="1554"/>
      <c r="AF200" s="1554"/>
      <c r="AG200" s="1554"/>
      <c r="AH200" s="1554"/>
      <c r="AI200" s="1554"/>
      <c r="AJ200" s="1554"/>
      <c r="AK200" s="1554"/>
      <c r="AL200" s="1554"/>
      <c r="AM200" s="1554"/>
      <c r="AN200" s="1554"/>
      <c r="AO200" s="1554"/>
      <c r="AP200" s="1554">
        <v>11</v>
      </c>
    </row>
    <row r="201" spans="1:42" ht="11.45" customHeight="1">
      <c r="A201" s="917"/>
      <c r="B201" s="917"/>
      <c r="C201" s="917"/>
      <c r="D201" s="917"/>
      <c r="E201" s="917"/>
      <c r="F201" s="1554"/>
      <c r="H201" s="1554"/>
      <c r="S201" s="1554"/>
      <c r="U201" s="1554"/>
      <c r="X201" s="1554"/>
      <c r="Y201" s="1554"/>
      <c r="Z201" s="1554"/>
      <c r="AA201" s="1554"/>
      <c r="AC201" s="1554"/>
      <c r="AD201" s="1554"/>
      <c r="AE201" s="1554"/>
      <c r="AF201" s="1554"/>
      <c r="AG201" s="1554"/>
      <c r="AH201" s="1554"/>
      <c r="AI201" s="1554"/>
      <c r="AJ201" s="1554"/>
      <c r="AK201" s="1554"/>
      <c r="AL201" s="1554"/>
      <c r="AM201" s="1554"/>
      <c r="AN201" s="1554"/>
      <c r="AO201" s="1554"/>
      <c r="AP201" s="1554">
        <v>11</v>
      </c>
    </row>
    <row r="202" spans="1:42" ht="11.45" customHeight="1">
      <c r="A202" s="917"/>
      <c r="B202" s="917"/>
      <c r="C202" s="917"/>
      <c r="D202" s="917"/>
      <c r="E202" s="917"/>
      <c r="F202" s="1554"/>
      <c r="H202" s="1554"/>
      <c r="S202" s="1554"/>
      <c r="U202" s="1554"/>
      <c r="X202" s="1554"/>
      <c r="Y202" s="1554"/>
      <c r="Z202" s="1554"/>
      <c r="AA202" s="1554"/>
      <c r="AC202" s="1554"/>
      <c r="AD202" s="1554"/>
      <c r="AE202" s="1554"/>
      <c r="AF202" s="1554"/>
      <c r="AG202" s="1554"/>
      <c r="AH202" s="1554"/>
      <c r="AI202" s="1554"/>
      <c r="AJ202" s="1554"/>
      <c r="AK202" s="1554"/>
      <c r="AL202" s="1554"/>
      <c r="AM202" s="1554"/>
      <c r="AN202" s="1554"/>
      <c r="AO202" s="1554"/>
      <c r="AP202" s="1554">
        <v>11</v>
      </c>
    </row>
    <row r="203" spans="1:42" ht="11.45" customHeight="1">
      <c r="A203" s="917"/>
      <c r="B203" s="917"/>
      <c r="C203" s="917"/>
      <c r="D203" s="917"/>
      <c r="E203" s="917"/>
      <c r="F203" s="1554"/>
      <c r="H203" s="1554"/>
      <c r="S203" s="1554"/>
      <c r="U203" s="1554"/>
      <c r="X203" s="1554"/>
      <c r="Y203" s="1554"/>
      <c r="Z203" s="1554"/>
      <c r="AA203" s="1554"/>
      <c r="AC203" s="1554"/>
      <c r="AD203" s="1554"/>
      <c r="AE203" s="1554"/>
      <c r="AF203" s="1554"/>
      <c r="AG203" s="1554"/>
      <c r="AH203" s="1554"/>
      <c r="AI203" s="1554"/>
      <c r="AJ203" s="1554"/>
      <c r="AK203" s="1554"/>
      <c r="AL203" s="1554"/>
      <c r="AM203" s="1554"/>
      <c r="AN203" s="1554"/>
      <c r="AO203" s="1554"/>
      <c r="AP203" s="1554">
        <v>11</v>
      </c>
    </row>
    <row r="204" spans="1:42" ht="12.75" hidden="1" customHeight="1">
      <c r="A204" s="914" t="s">
        <v>83</v>
      </c>
      <c r="B204" s="914" t="s">
        <v>170</v>
      </c>
      <c r="C204" s="914" t="s">
        <v>170</v>
      </c>
      <c r="D204" s="914" t="s">
        <v>170</v>
      </c>
      <c r="E204" s="914" t="s">
        <v>170</v>
      </c>
      <c r="F204" s="1558">
        <v>16</v>
      </c>
      <c r="G204" s="1559">
        <v>0</v>
      </c>
      <c r="H204" s="1558">
        <v>3</v>
      </c>
      <c r="I204" s="1554">
        <v>7</v>
      </c>
      <c r="J204" s="1554">
        <v>56</v>
      </c>
      <c r="K204" s="1554">
        <v>10</v>
      </c>
      <c r="L204" s="1554">
        <v>40</v>
      </c>
      <c r="M204" s="1554">
        <v>40</v>
      </c>
      <c r="N204" s="1558">
        <v>40</v>
      </c>
      <c r="O204" s="1558">
        <v>40</v>
      </c>
      <c r="P204" s="1558">
        <v>40</v>
      </c>
      <c r="Q204" s="1558">
        <v>40</v>
      </c>
      <c r="R204" s="1558">
        <v>40</v>
      </c>
      <c r="S204" s="1289">
        <v>9</v>
      </c>
      <c r="T204" s="1554">
        <v>102</v>
      </c>
      <c r="U204" s="1289">
        <v>9</v>
      </c>
      <c r="V204" s="1559">
        <v>5</v>
      </c>
      <c r="W204" s="1559">
        <v>3</v>
      </c>
      <c r="X204" s="1289">
        <v>3</v>
      </c>
      <c r="Y204" s="1289">
        <v>3</v>
      </c>
      <c r="Z204" s="1289">
        <v>3</v>
      </c>
      <c r="AA204" s="1289">
        <v>3</v>
      </c>
      <c r="AB204" s="1559">
        <v>10</v>
      </c>
      <c r="AC204" s="1289">
        <v>34</v>
      </c>
      <c r="AD204" s="1289">
        <v>9</v>
      </c>
      <c r="AE204" s="480">
        <v>8</v>
      </c>
      <c r="AF204" s="1289">
        <v>8</v>
      </c>
      <c r="AG204" s="1289">
        <v>8</v>
      </c>
      <c r="AH204" s="1289">
        <v>8</v>
      </c>
      <c r="AI204" s="1289">
        <v>8</v>
      </c>
      <c r="AJ204" s="1289">
        <v>8</v>
      </c>
      <c r="AK204" s="1555">
        <v>8</v>
      </c>
      <c r="AL204" s="1555">
        <v>8</v>
      </c>
      <c r="AM204" s="1555">
        <v>8</v>
      </c>
      <c r="AN204" s="1555">
        <v>8</v>
      </c>
      <c r="AO204" s="1555">
        <v>8</v>
      </c>
      <c r="AP204" s="1554">
        <v>11</v>
      </c>
    </row>
  </sheetData>
  <sheetProtection insertRows="0" deleteColumns="0" deleteRows="0" sort="0" autoFilter="0"/>
  <mergeCells count="7">
    <mergeCell ref="I6:M6"/>
    <mergeCell ref="I7:M7"/>
    <mergeCell ref="J10:K10"/>
    <mergeCell ref="T10:T14"/>
    <mergeCell ref="J11:K11"/>
    <mergeCell ref="J12:K12"/>
    <mergeCell ref="I13:K13"/>
  </mergeCells>
  <dataValidations count="4">
    <dataValidation type="decimal" allowBlank="1" showErrorMessage="1" errorTitle="Ошибка" error="Допускается ввод только неотрицательных чисел!" sqref="L32:R33 L19:R29 L16:R16 L2:R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R17">
      <formula1>900</formula1>
    </dataValidation>
    <dataValidation type="whole" allowBlank="1" showErrorMessage="1" errorTitle="Ошибка" error="Допускается ввод только неотрицательных целых чисел!" sqref="L30:R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R15 L34:R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58" hidden="1"/>
    <col min="5" max="5" width="9.140625" style="2032" hidden="1" customWidth="1"/>
    <col min="6" max="7" width="9.140625" style="1289" hidden="1" customWidth="1"/>
    <col min="8" max="8" width="3" style="281" customWidth="1"/>
    <col min="9" max="9" width="6" style="1558" customWidth="1"/>
    <col min="10" max="10" width="63" style="1558" customWidth="1"/>
    <col min="11" max="11" width="9" style="1558" customWidth="1"/>
    <col min="12" max="12" width="39" style="1558" customWidth="1"/>
    <col min="13" max="13" width="89" style="1558" customWidth="1"/>
    <col min="14" max="14" width="10" style="1558" customWidth="1"/>
    <col min="15" max="16" width="10" style="1547" customWidth="1"/>
    <col min="17" max="22" width="10" style="1558" customWidth="1"/>
    <col min="23" max="23" width="10.5703125" style="1558" hidden="1"/>
  </cols>
  <sheetData>
    <row r="1" spans="1:23" ht="22.5" hidden="1" customHeight="1">
      <c r="S1" s="192"/>
      <c r="T1" s="192"/>
      <c r="V1" s="192"/>
      <c r="W1" s="1554" t="s">
        <v>14</v>
      </c>
    </row>
    <row r="2" spans="1:23" ht="22.5" hidden="1" customHeight="1">
      <c r="B2" s="1967" t="s">
        <v>833</v>
      </c>
      <c r="C2" s="1967" t="s">
        <v>834</v>
      </c>
      <c r="D2" s="1966" t="s">
        <v>773</v>
      </c>
      <c r="E2" s="1972">
        <f>I2-3</f>
        <v>-3</v>
      </c>
      <c r="F2" s="1972">
        <f>J2</f>
        <v>0</v>
      </c>
      <c r="H2" s="1651" t="s">
        <v>104</v>
      </c>
      <c r="I2" s="1938"/>
      <c r="J2" s="1604"/>
      <c r="K2" s="1932" t="s">
        <v>325</v>
      </c>
      <c r="L2" s="1087"/>
      <c r="M2" s="234"/>
      <c r="N2" s="1547"/>
      <c r="P2" s="1554"/>
      <c r="W2" s="1554">
        <v>0</v>
      </c>
    </row>
    <row r="3" spans="1:23" ht="14.25" hidden="1" customHeight="1">
      <c r="W3" s="1554">
        <v>0</v>
      </c>
    </row>
    <row r="4" spans="1:23" ht="6.4" customHeight="1">
      <c r="H4" s="312"/>
      <c r="I4" s="393"/>
      <c r="J4" s="393"/>
      <c r="K4" s="393"/>
      <c r="L4" s="24"/>
      <c r="M4" s="24"/>
      <c r="W4" s="1554">
        <v>6</v>
      </c>
    </row>
    <row r="5" spans="1:23" ht="50.25" customHeight="1">
      <c r="H5" s="312"/>
      <c r="I5" s="2490" t="s">
        <v>835</v>
      </c>
      <c r="J5" s="2490"/>
      <c r="K5" s="2490"/>
      <c r="L5" s="2490"/>
      <c r="M5" s="203"/>
      <c r="W5" s="1554">
        <v>48</v>
      </c>
    </row>
    <row r="6" spans="1:23" ht="18" customHeight="1">
      <c r="H6" s="312"/>
      <c r="I6" s="2436" t="str">
        <f>IF(org=0,"Не определено",org)</f>
        <v>ПАО "ТГК-2"</v>
      </c>
      <c r="J6" s="2436"/>
      <c r="K6" s="2436"/>
      <c r="L6" s="2436"/>
      <c r="M6" s="203"/>
      <c r="W6" s="1554">
        <v>17</v>
      </c>
    </row>
    <row r="7" spans="1:23" ht="14.65" customHeight="1">
      <c r="H7" s="312"/>
      <c r="I7" s="393"/>
      <c r="J7" s="399"/>
      <c r="K7" s="399"/>
      <c r="L7" s="687"/>
      <c r="M7" s="130"/>
      <c r="W7" s="1554">
        <v>14</v>
      </c>
    </row>
    <row r="8" spans="1:23" ht="14.65" customHeight="1">
      <c r="H8" s="312"/>
      <c r="I8" s="2623" t="s">
        <v>319</v>
      </c>
      <c r="J8" s="2624"/>
      <c r="K8" s="2624"/>
      <c r="L8" s="2625"/>
      <c r="M8" s="2626" t="s">
        <v>320</v>
      </c>
      <c r="W8" s="1554">
        <v>14</v>
      </c>
    </row>
    <row r="9" spans="1:23" ht="35.65" customHeight="1">
      <c r="E9" s="1965" t="s">
        <v>764</v>
      </c>
      <c r="F9" s="1965" t="s">
        <v>770</v>
      </c>
      <c r="H9" s="312"/>
      <c r="I9" s="1939" t="s">
        <v>89</v>
      </c>
      <c r="J9" s="1940" t="s">
        <v>321</v>
      </c>
      <c r="K9" s="1978" t="s">
        <v>583</v>
      </c>
      <c r="L9" s="1979" t="s">
        <v>322</v>
      </c>
      <c r="M9" s="2626"/>
      <c r="W9" s="1554">
        <v>34</v>
      </c>
    </row>
    <row r="10" spans="1:23" ht="35.65" customHeight="1">
      <c r="B10" s="1967" t="s">
        <v>836</v>
      </c>
      <c r="C10" s="1967" t="s">
        <v>837</v>
      </c>
      <c r="D10" s="1966" t="s">
        <v>773</v>
      </c>
      <c r="E10" s="1970" t="s">
        <v>774</v>
      </c>
      <c r="F10" s="1970" t="s">
        <v>774</v>
      </c>
      <c r="H10" s="312"/>
      <c r="I10" s="1938" t="s">
        <v>100</v>
      </c>
      <c r="J10" s="1803" t="s">
        <v>838</v>
      </c>
      <c r="K10" s="1932" t="s">
        <v>325</v>
      </c>
      <c r="L10" s="747"/>
      <c r="M10" s="234" t="s">
        <v>839</v>
      </c>
      <c r="W10" s="1554">
        <v>34</v>
      </c>
    </row>
    <row r="11" spans="1:23" ht="50.25" customHeight="1">
      <c r="B11" s="1967" t="s">
        <v>840</v>
      </c>
      <c r="C11" s="1967" t="s">
        <v>841</v>
      </c>
      <c r="D11" s="1966" t="s">
        <v>773</v>
      </c>
      <c r="E11" s="1970" t="s">
        <v>774</v>
      </c>
      <c r="F11" s="1970" t="s">
        <v>774</v>
      </c>
      <c r="H11" s="312"/>
      <c r="I11" s="1938" t="s">
        <v>103</v>
      </c>
      <c r="J11" s="1803" t="s">
        <v>842</v>
      </c>
      <c r="K11" s="1932" t="s">
        <v>325</v>
      </c>
      <c r="L11" s="747"/>
      <c r="M11" s="234" t="s">
        <v>839</v>
      </c>
      <c r="W11" s="1554">
        <v>48</v>
      </c>
    </row>
    <row r="12" spans="1:23" ht="48.2" customHeight="1">
      <c r="B12" s="1967" t="s">
        <v>843</v>
      </c>
      <c r="C12" s="1967" t="s">
        <v>844</v>
      </c>
      <c r="D12" s="1966" t="s">
        <v>773</v>
      </c>
      <c r="E12" s="1970" t="s">
        <v>774</v>
      </c>
      <c r="F12" s="1970" t="s">
        <v>774</v>
      </c>
      <c r="H12" s="1610"/>
      <c r="I12" s="1938" t="s">
        <v>91</v>
      </c>
      <c r="J12" s="1945" t="s">
        <v>845</v>
      </c>
      <c r="K12" s="1932" t="s">
        <v>325</v>
      </c>
      <c r="L12" s="747"/>
      <c r="M12" s="234" t="s">
        <v>846</v>
      </c>
      <c r="N12" s="1547"/>
      <c r="P12" s="1554"/>
      <c r="W12" s="1554">
        <v>46</v>
      </c>
    </row>
    <row r="13" spans="1:23" ht="14.65" customHeight="1">
      <c r="E13" s="280"/>
      <c r="H13" s="312"/>
      <c r="I13" s="284"/>
      <c r="J13" s="587" t="s">
        <v>847</v>
      </c>
      <c r="K13" s="507"/>
      <c r="L13" s="151"/>
      <c r="M13" s="234"/>
      <c r="W13" s="1554">
        <v>14</v>
      </c>
    </row>
    <row r="14" spans="1:23" ht="14.65" customHeight="1">
      <c r="E14" s="280"/>
      <c r="H14" s="312"/>
      <c r="I14" s="984"/>
      <c r="J14" s="1599"/>
      <c r="K14" s="1600"/>
      <c r="L14" s="1601"/>
      <c r="M14" s="1942"/>
      <c r="W14" s="1554">
        <v>14</v>
      </c>
    </row>
    <row r="15" spans="1:23" ht="14.65" customHeight="1">
      <c r="I15" s="1603"/>
      <c r="J15" s="2526"/>
      <c r="K15" s="2526"/>
      <c r="L15" s="2526"/>
      <c r="M15" s="2526"/>
      <c r="W15" s="1554">
        <v>14</v>
      </c>
    </row>
    <row r="16" spans="1:23" ht="21" hidden="1" customHeight="1">
      <c r="A16" s="1944" t="s">
        <v>83</v>
      </c>
      <c r="B16" s="1554">
        <v>9</v>
      </c>
      <c r="C16" s="1554">
        <v>9</v>
      </c>
      <c r="D16" s="1554">
        <v>9</v>
      </c>
      <c r="E16" s="1944" t="s">
        <v>169</v>
      </c>
      <c r="F16" s="1969" t="s">
        <v>169</v>
      </c>
      <c r="G16" s="1971"/>
      <c r="H16" s="281">
        <v>3</v>
      </c>
      <c r="I16" s="1554">
        <v>6</v>
      </c>
      <c r="J16" s="1554">
        <v>63</v>
      </c>
      <c r="K16" s="1554">
        <v>9</v>
      </c>
      <c r="L16" s="1554">
        <v>39</v>
      </c>
      <c r="M16" s="1554">
        <v>89</v>
      </c>
      <c r="N16" s="1554">
        <v>10</v>
      </c>
      <c r="O16" s="1547">
        <v>10</v>
      </c>
      <c r="P16" s="1547">
        <v>10</v>
      </c>
      <c r="Q16" s="1554">
        <v>10</v>
      </c>
      <c r="R16" s="1554">
        <v>10</v>
      </c>
      <c r="S16" s="1554">
        <v>10</v>
      </c>
      <c r="T16" s="1554">
        <v>10</v>
      </c>
      <c r="U16" s="1554">
        <v>10</v>
      </c>
      <c r="V16" s="1554">
        <v>10</v>
      </c>
      <c r="W16" s="1554">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19"/>
  <sheetViews>
    <sheetView showGridLines="0" zoomScale="90" workbookViewId="0">
      <pane xSplit="8" ySplit="14" topLeftCell="N15" activePane="bottomRight" state="frozen"/>
      <selection pane="topRight" activeCell="I1" sqref="I1"/>
      <selection pane="bottomLeft" activeCell="A15" sqref="A15"/>
      <selection pane="bottomRight" activeCell="N9" sqref="N9"/>
    </sheetView>
  </sheetViews>
  <sheetFormatPr defaultColWidth="9.140625" defaultRowHeight="11.25" customHeight="1"/>
  <cols>
    <col min="1" max="1" width="10.7109375" style="914" hidden="1" customWidth="1"/>
    <col min="2" max="2" width="16.85546875" style="1289" hidden="1" customWidth="1"/>
    <col min="3" max="3" width="5.5703125" style="1565" hidden="1" customWidth="1"/>
    <col min="4" max="4" width="3" style="1558" customWidth="1"/>
    <col min="5" max="5" width="7" style="1558" customWidth="1"/>
    <col min="6" max="6" width="56" style="1558" customWidth="1"/>
    <col min="7" max="7" width="10" style="1558" customWidth="1"/>
    <col min="8" max="8" width="40.7109375" style="1558" hidden="1" customWidth="1"/>
    <col min="9" max="9" width="40" style="1558" customWidth="1"/>
    <col min="10" max="14" width="40.7109375" style="1558" customWidth="1"/>
    <col min="15" max="15" width="102" style="1558" customWidth="1"/>
    <col min="16" max="16" width="9" style="1289" customWidth="1"/>
    <col min="17" max="17" width="5" style="1565" customWidth="1"/>
    <col min="18" max="18" width="3" style="1565" customWidth="1"/>
    <col min="19" max="22" width="3" style="1289" customWidth="1"/>
    <col min="23" max="23" width="10" style="1565" customWidth="1"/>
    <col min="24" max="24" width="34" style="1289" customWidth="1"/>
    <col min="25" max="25" width="9" style="1289" customWidth="1"/>
    <col min="26" max="26" width="8" style="671" customWidth="1"/>
    <col min="27" max="31" width="8" style="1289" customWidth="1"/>
    <col min="32" max="36" width="8" style="1555" customWidth="1"/>
    <col min="37" max="37" width="10.42578125" style="1558" hidden="1" customWidth="1"/>
  </cols>
  <sheetData>
    <row r="1" spans="1:37" s="1289" customFormat="1" ht="22.5" hidden="1" customHeight="1">
      <c r="A1" s="914"/>
      <c r="C1" s="1559"/>
      <c r="D1" s="473"/>
      <c r="H1" s="1083">
        <v>4</v>
      </c>
      <c r="I1" s="1083">
        <v>4</v>
      </c>
      <c r="J1" s="1289">
        <v>4</v>
      </c>
      <c r="K1" s="1289">
        <v>4</v>
      </c>
      <c r="L1" s="1289">
        <v>4</v>
      </c>
      <c r="M1" s="1289" t="s">
        <v>91</v>
      </c>
      <c r="N1" s="1289">
        <v>4</v>
      </c>
      <c r="Q1" s="1559"/>
      <c r="R1" s="1559"/>
      <c r="W1" s="1559"/>
      <c r="AK1" s="1083" t="s">
        <v>14</v>
      </c>
    </row>
    <row r="2" spans="1:37" s="1289" customFormat="1" ht="22.5" hidden="1" customHeight="1">
      <c r="A2" s="914"/>
      <c r="C2" s="1559"/>
      <c r="D2" s="474"/>
      <c r="E2" s="1560"/>
      <c r="F2" s="476"/>
      <c r="G2" s="1562" t="s">
        <v>569</v>
      </c>
      <c r="H2" s="477"/>
      <c r="I2" s="477"/>
      <c r="J2" s="686"/>
      <c r="K2" s="686"/>
      <c r="L2" s="686"/>
      <c r="M2" s="686"/>
      <c r="N2" s="686"/>
      <c r="O2" s="478" t="s">
        <v>848</v>
      </c>
      <c r="P2" s="479"/>
      <c r="Q2" s="1559"/>
      <c r="R2" s="1559"/>
      <c r="W2" s="1559"/>
      <c r="Z2" s="480"/>
      <c r="AF2" s="1555"/>
      <c r="AG2" s="1555"/>
      <c r="AH2" s="1555"/>
      <c r="AI2" s="1555"/>
      <c r="AJ2" s="1555"/>
      <c r="AK2" s="1083">
        <v>0</v>
      </c>
    </row>
    <row r="3" spans="1:37" ht="11.25" hidden="1" customHeight="1">
      <c r="AK3" s="1554">
        <v>0</v>
      </c>
    </row>
    <row r="4" spans="1:37" s="1555" customFormat="1" ht="11.25" hidden="1" customHeight="1">
      <c r="A4" s="914"/>
      <c r="B4" s="1083"/>
      <c r="C4" s="1559"/>
      <c r="D4" s="298"/>
      <c r="O4" s="1555">
        <v>4</v>
      </c>
      <c r="P4" s="1083"/>
      <c r="Q4" s="1559"/>
      <c r="R4" s="1559"/>
      <c r="S4" s="1083"/>
      <c r="T4" s="1083"/>
      <c r="U4" s="1083"/>
      <c r="V4" s="1083"/>
      <c r="W4" s="1559"/>
      <c r="X4" s="1083"/>
      <c r="Y4" s="1083"/>
      <c r="Z4" s="480"/>
      <c r="AA4" s="1083"/>
      <c r="AB4" s="1083"/>
      <c r="AC4" s="1083"/>
      <c r="AD4" s="1083"/>
      <c r="AE4" s="1083"/>
      <c r="AK4" s="1555">
        <v>0</v>
      </c>
    </row>
    <row r="5" spans="1:37" ht="11.45" customHeight="1">
      <c r="AK5" s="1554">
        <v>11</v>
      </c>
    </row>
    <row r="6" spans="1:37" ht="31.5" customHeight="1">
      <c r="E6" s="2451" t="s">
        <v>849</v>
      </c>
      <c r="F6" s="2451"/>
      <c r="G6" s="2451"/>
      <c r="H6" s="2451"/>
      <c r="I6" s="2451"/>
      <c r="J6" s="2023"/>
      <c r="K6" s="2023"/>
      <c r="L6" s="2023"/>
      <c r="M6" s="2023"/>
      <c r="N6" s="2023"/>
      <c r="O6" s="492"/>
      <c r="AK6" s="1554">
        <v>30</v>
      </c>
    </row>
    <row r="7" spans="1:37" ht="11.45" customHeight="1">
      <c r="E7" s="2436" t="str">
        <f>IF(org=0,"Не определено",org)</f>
        <v>ПАО "ТГК-2"</v>
      </c>
      <c r="F7" s="2436"/>
      <c r="G7" s="2436"/>
      <c r="H7" s="2436"/>
      <c r="I7" s="2436"/>
      <c r="J7" s="2018"/>
      <c r="K7" s="2018"/>
      <c r="L7" s="2018"/>
      <c r="M7" s="2018"/>
      <c r="N7" s="2018"/>
      <c r="AK7" s="1554">
        <v>11</v>
      </c>
    </row>
    <row r="8" spans="1:37" ht="11.45" customHeight="1">
      <c r="E8" s="1059"/>
      <c r="F8" s="1059"/>
      <c r="G8" s="1059"/>
      <c r="H8" s="1059"/>
      <c r="I8" s="1059"/>
      <c r="J8" s="1060" t="s">
        <v>22</v>
      </c>
      <c r="K8" s="1060" t="s">
        <v>22</v>
      </c>
      <c r="L8" s="1060" t="s">
        <v>22</v>
      </c>
      <c r="M8" s="1060" t="s">
        <v>22</v>
      </c>
      <c r="N8" s="1060" t="s">
        <v>22</v>
      </c>
      <c r="AK8" s="1554">
        <v>11</v>
      </c>
    </row>
    <row r="9" spans="1:37" s="1565" customFormat="1" ht="4.1500000000000004" customHeight="1">
      <c r="A9" s="1090"/>
      <c r="H9" s="817"/>
      <c r="I9" s="817" t="s">
        <v>129</v>
      </c>
      <c r="J9" s="817" t="s">
        <v>135</v>
      </c>
      <c r="K9" s="817" t="s">
        <v>137</v>
      </c>
      <c r="L9" s="817" t="s">
        <v>140</v>
      </c>
      <c r="M9" s="817" t="s">
        <v>139</v>
      </c>
      <c r="N9" s="817" t="s">
        <v>133</v>
      </c>
      <c r="AK9" s="1559">
        <v>4</v>
      </c>
    </row>
    <row r="10" spans="1:37" ht="11.45" customHeight="1">
      <c r="E10" s="647"/>
      <c r="F10" s="2591" t="s">
        <v>119</v>
      </c>
      <c r="G10" s="2592"/>
      <c r="H10" s="1475" t="str">
        <f t="shared" ref="H10:N10" si="0">IF(H9="","",INDEX(DIFFERENTIATION_UNMERGE_VD,MATCH(H9,DIFFERENTIATION_ID_DIFF,0)))</f>
        <v/>
      </c>
      <c r="I10" s="1475" t="str">
        <f t="shared" si="0"/>
        <v>Производство тепловой энергии. Комбинированная выработка с уст. мощностью производства электрической энергии 25 МВт и более</v>
      </c>
      <c r="J10" s="2030" t="str">
        <f t="shared" si="0"/>
        <v>Производство тепловой энергии. Некомбинированная выработка</v>
      </c>
      <c r="K10" s="2030" t="str">
        <f t="shared" si="0"/>
        <v>Передача. Тепловая энергия; Сбыт. Тепловая энергия</v>
      </c>
      <c r="L10" s="2030" t="str">
        <f t="shared" si="0"/>
        <v>Производство. Теплоноситель; Сбыт. Теплоноситель</v>
      </c>
      <c r="M10" s="2030" t="str">
        <f t="shared" si="0"/>
        <v>Передача. Тепловая энергия; Сбыт. Тепловая энергия</v>
      </c>
      <c r="N10" s="2030" t="str">
        <f t="shared" si="0"/>
        <v>Производство тепловой энергии. Комбинированная выработка с уст. мощностью производства электрической энергии 25 МВт и более</v>
      </c>
      <c r="O10" s="2371" t="s">
        <v>320</v>
      </c>
      <c r="AK10" s="1554">
        <v>11</v>
      </c>
    </row>
    <row r="11" spans="1:37" ht="11.45" customHeight="1">
      <c r="E11" s="647"/>
      <c r="F11" s="2591" t="s">
        <v>581</v>
      </c>
      <c r="G11" s="2592"/>
      <c r="H11" s="1475" t="str">
        <f t="shared" ref="H11:N11" si="1">IF(H9="","",INDEX(DIFFERENTIATION_UNMERGE_AREA,MATCH(H9,DIFFERENTIATION_ID_DIFF,0)))</f>
        <v/>
      </c>
      <c r="I11" s="1475" t="str">
        <f t="shared" si="1"/>
        <v>Территория 1</v>
      </c>
      <c r="J11" s="2030" t="str">
        <f t="shared" si="1"/>
        <v>Территория 1</v>
      </c>
      <c r="K11" s="2030" t="str">
        <f t="shared" si="1"/>
        <v>Территория 1</v>
      </c>
      <c r="L11" s="2030" t="str">
        <f t="shared" si="1"/>
        <v>Территория 2</v>
      </c>
      <c r="M11" s="2030" t="str">
        <f t="shared" si="1"/>
        <v>Территория 2</v>
      </c>
      <c r="N11" s="2030" t="str">
        <f t="shared" si="1"/>
        <v>Территория 2</v>
      </c>
      <c r="O11" s="2371"/>
      <c r="AK11" s="1554">
        <v>11</v>
      </c>
    </row>
    <row r="12" spans="1:37" ht="1.1499999999999999" customHeight="1">
      <c r="E12" s="1585"/>
      <c r="F12" s="2627" t="s">
        <v>582</v>
      </c>
      <c r="G12" s="2628"/>
      <c r="H12" s="1586" t="str">
        <f t="shared" ref="H12:N12" si="2">IF(H9="","",INDEX(DIFFERENTIATION_UNMERGE_SYSTEM,MATCH(H9,DIFFERENTIATION_ID_DIFF,0)))</f>
        <v/>
      </c>
      <c r="I12" s="1586" t="str">
        <f t="shared" si="2"/>
        <v>без дифференциации</v>
      </c>
      <c r="J12" s="1586" t="str">
        <f t="shared" si="2"/>
        <v>без дифференциации</v>
      </c>
      <c r="K12" s="1586" t="str">
        <f t="shared" si="2"/>
        <v>без дифференциации</v>
      </c>
      <c r="L12" s="1586" t="str">
        <f t="shared" si="2"/>
        <v>без дифференциации</v>
      </c>
      <c r="M12" s="1586" t="str">
        <f t="shared" si="2"/>
        <v>без дифференциации</v>
      </c>
      <c r="N12" s="1586" t="str">
        <f t="shared" si="2"/>
        <v>без дифференциации</v>
      </c>
      <c r="O12" s="2371"/>
      <c r="AK12" s="1554">
        <v>1</v>
      </c>
    </row>
    <row r="13" spans="1:37" ht="11.45" customHeight="1">
      <c r="E13" s="2593" t="s">
        <v>319</v>
      </c>
      <c r="F13" s="2594"/>
      <c r="G13" s="2594"/>
      <c r="H13" s="1474"/>
      <c r="I13" s="1474"/>
      <c r="J13" s="2027"/>
      <c r="K13" s="2027"/>
      <c r="L13" s="2027"/>
      <c r="M13" s="2027"/>
      <c r="N13" s="2027"/>
      <c r="O13" s="2371"/>
      <c r="AK13" s="1554">
        <v>11</v>
      </c>
    </row>
    <row r="14" spans="1:37" ht="24" customHeight="1">
      <c r="E14" s="1562" t="s">
        <v>89</v>
      </c>
      <c r="F14" s="1557" t="s">
        <v>321</v>
      </c>
      <c r="G14" s="1557" t="s">
        <v>583</v>
      </c>
      <c r="H14" s="1557" t="s">
        <v>322</v>
      </c>
      <c r="I14" s="1557" t="s">
        <v>322</v>
      </c>
      <c r="J14" s="2024" t="s">
        <v>322</v>
      </c>
      <c r="K14" s="2024" t="s">
        <v>322</v>
      </c>
      <c r="L14" s="2024" t="s">
        <v>322</v>
      </c>
      <c r="M14" s="2024" t="s">
        <v>322</v>
      </c>
      <c r="N14" s="2024" t="s">
        <v>322</v>
      </c>
      <c r="O14" s="2371"/>
      <c r="AK14" s="1554">
        <v>23</v>
      </c>
    </row>
    <row r="15" spans="1:37" ht="19.899999999999999" customHeight="1">
      <c r="D15" s="1561"/>
      <c r="E15" s="1553" t="s">
        <v>100</v>
      </c>
      <c r="F15" s="643" t="s">
        <v>850</v>
      </c>
      <c r="G15" s="1569" t="s">
        <v>569</v>
      </c>
      <c r="H15" s="493"/>
      <c r="I15" s="493"/>
      <c r="J15" s="493"/>
      <c r="K15" s="493"/>
      <c r="L15" s="493"/>
      <c r="M15" s="493"/>
      <c r="N15" s="493"/>
      <c r="O15" s="226" t="s">
        <v>851</v>
      </c>
      <c r="P15" s="479" t="s">
        <v>776</v>
      </c>
      <c r="AK15" s="1554">
        <v>19</v>
      </c>
    </row>
    <row r="16" spans="1:37" ht="35.65" customHeight="1">
      <c r="D16" s="1561"/>
      <c r="E16" s="1553" t="s">
        <v>103</v>
      </c>
      <c r="F16" s="643" t="s">
        <v>852</v>
      </c>
      <c r="G16" s="1569" t="s">
        <v>569</v>
      </c>
      <c r="H16" s="494">
        <f t="shared" ref="H16:N16" si="3">SUM(H17,H20,H23,H26,H29:H32,H35)</f>
        <v>0</v>
      </c>
      <c r="I16" s="494">
        <f t="shared" si="3"/>
        <v>0</v>
      </c>
      <c r="J16" s="494">
        <f t="shared" si="3"/>
        <v>0</v>
      </c>
      <c r="K16" s="494">
        <f t="shared" si="3"/>
        <v>0</v>
      </c>
      <c r="L16" s="494">
        <f t="shared" si="3"/>
        <v>0</v>
      </c>
      <c r="M16" s="494">
        <f t="shared" si="3"/>
        <v>0</v>
      </c>
      <c r="N16" s="494">
        <f t="shared" si="3"/>
        <v>0</v>
      </c>
      <c r="O16" s="226" t="s">
        <v>853</v>
      </c>
      <c r="P16" s="479" t="s">
        <v>776</v>
      </c>
      <c r="AK16" s="1554">
        <v>34</v>
      </c>
    </row>
    <row r="17" spans="1:37" ht="19.899999999999999" customHeight="1">
      <c r="D17" s="1561"/>
      <c r="E17" s="1587" t="s">
        <v>854</v>
      </c>
      <c r="F17" s="882" t="s">
        <v>855</v>
      </c>
      <c r="G17" s="1566" t="s">
        <v>569</v>
      </c>
      <c r="H17" s="493"/>
      <c r="I17" s="493"/>
      <c r="J17" s="493"/>
      <c r="K17" s="493"/>
      <c r="L17" s="493"/>
      <c r="M17" s="493"/>
      <c r="N17" s="493"/>
      <c r="O17" s="226" t="s">
        <v>856</v>
      </c>
      <c r="P17" s="479"/>
      <c r="AK17" s="1554">
        <v>19</v>
      </c>
    </row>
    <row r="18" spans="1:37" ht="24" customHeight="1">
      <c r="D18" s="1561"/>
      <c r="E18" s="1587" t="s">
        <v>857</v>
      </c>
      <c r="F18" s="1573" t="s">
        <v>858</v>
      </c>
      <c r="G18" s="1566" t="s">
        <v>569</v>
      </c>
      <c r="H18" s="493"/>
      <c r="I18" s="493"/>
      <c r="J18" s="493"/>
      <c r="K18" s="493"/>
      <c r="L18" s="493"/>
      <c r="M18" s="493"/>
      <c r="N18" s="493"/>
      <c r="O18" s="226" t="s">
        <v>859</v>
      </c>
      <c r="P18" s="479"/>
      <c r="AK18" s="1554">
        <v>23</v>
      </c>
    </row>
    <row r="19" spans="1:37" ht="35.65" customHeight="1">
      <c r="D19" s="1561"/>
      <c r="E19" s="1587" t="s">
        <v>860</v>
      </c>
      <c r="F19" s="1573" t="s">
        <v>861</v>
      </c>
      <c r="G19" s="1566" t="s">
        <v>569</v>
      </c>
      <c r="H19" s="493"/>
      <c r="I19" s="493"/>
      <c r="J19" s="493"/>
      <c r="K19" s="493"/>
      <c r="L19" s="493"/>
      <c r="M19" s="493"/>
      <c r="N19" s="493"/>
      <c r="O19" s="226"/>
      <c r="P19" s="479"/>
      <c r="AK19" s="1554">
        <v>34</v>
      </c>
    </row>
    <row r="20" spans="1:37" ht="19.899999999999999" customHeight="1">
      <c r="D20" s="1561"/>
      <c r="E20" s="1587" t="s">
        <v>326</v>
      </c>
      <c r="F20" s="882" t="s">
        <v>862</v>
      </c>
      <c r="G20" s="1566" t="s">
        <v>569</v>
      </c>
      <c r="H20" s="493"/>
      <c r="I20" s="493"/>
      <c r="J20" s="493"/>
      <c r="K20" s="493"/>
      <c r="L20" s="493"/>
      <c r="M20" s="493"/>
      <c r="N20" s="493"/>
      <c r="O20" s="226" t="s">
        <v>863</v>
      </c>
      <c r="P20" s="479"/>
      <c r="AK20" s="1554">
        <v>19</v>
      </c>
    </row>
    <row r="21" spans="1:37" ht="19.899999999999999" customHeight="1">
      <c r="D21" s="1561"/>
      <c r="E21" s="1587" t="s">
        <v>864</v>
      </c>
      <c r="F21" s="1573" t="s">
        <v>865</v>
      </c>
      <c r="G21" s="1566" t="s">
        <v>569</v>
      </c>
      <c r="H21" s="493"/>
      <c r="I21" s="493"/>
      <c r="J21" s="493"/>
      <c r="K21" s="493"/>
      <c r="L21" s="493"/>
      <c r="M21" s="493"/>
      <c r="N21" s="493"/>
      <c r="O21" s="226"/>
      <c r="P21" s="479"/>
      <c r="AK21" s="1554">
        <v>19</v>
      </c>
    </row>
    <row r="22" spans="1:37" ht="19.899999999999999" customHeight="1">
      <c r="D22" s="1561"/>
      <c r="E22" s="1587" t="s">
        <v>866</v>
      </c>
      <c r="F22" s="1573" t="s">
        <v>867</v>
      </c>
      <c r="G22" s="1566" t="s">
        <v>569</v>
      </c>
      <c r="H22" s="493"/>
      <c r="I22" s="493"/>
      <c r="J22" s="493"/>
      <c r="K22" s="493"/>
      <c r="L22" s="493"/>
      <c r="M22" s="493"/>
      <c r="N22" s="493"/>
      <c r="O22" s="226"/>
      <c r="P22" s="479"/>
      <c r="AK22" s="1554">
        <v>19</v>
      </c>
    </row>
    <row r="23" spans="1:37" ht="24" customHeight="1">
      <c r="D23" s="1561"/>
      <c r="E23" s="1587" t="s">
        <v>329</v>
      </c>
      <c r="F23" s="882" t="s">
        <v>868</v>
      </c>
      <c r="G23" s="1566" t="s">
        <v>569</v>
      </c>
      <c r="H23" s="493"/>
      <c r="I23" s="493"/>
      <c r="J23" s="493"/>
      <c r="K23" s="493"/>
      <c r="L23" s="493"/>
      <c r="M23" s="493"/>
      <c r="N23" s="493"/>
      <c r="O23" s="226" t="s">
        <v>869</v>
      </c>
      <c r="P23" s="479"/>
      <c r="AK23" s="1554">
        <v>23</v>
      </c>
    </row>
    <row r="24" spans="1:37" ht="19.899999999999999" customHeight="1">
      <c r="D24" s="1561"/>
      <c r="E24" s="1587" t="s">
        <v>870</v>
      </c>
      <c r="F24" s="1573" t="s">
        <v>871</v>
      </c>
      <c r="G24" s="1566" t="s">
        <v>569</v>
      </c>
      <c r="H24" s="493"/>
      <c r="I24" s="493"/>
      <c r="J24" s="493"/>
      <c r="K24" s="493"/>
      <c r="L24" s="493"/>
      <c r="M24" s="493"/>
      <c r="N24" s="493"/>
      <c r="O24" s="226"/>
      <c r="P24" s="479"/>
      <c r="AK24" s="1554">
        <v>19</v>
      </c>
    </row>
    <row r="25" spans="1:37" ht="35.65" customHeight="1">
      <c r="D25" s="1561"/>
      <c r="E25" s="1587" t="s">
        <v>872</v>
      </c>
      <c r="F25" s="1573" t="s">
        <v>873</v>
      </c>
      <c r="G25" s="1566" t="s">
        <v>569</v>
      </c>
      <c r="H25" s="493"/>
      <c r="I25" s="493"/>
      <c r="J25" s="493"/>
      <c r="K25" s="493"/>
      <c r="L25" s="493"/>
      <c r="M25" s="493"/>
      <c r="N25" s="493"/>
      <c r="O25" s="226"/>
      <c r="P25" s="479"/>
      <c r="AK25" s="1554">
        <v>34</v>
      </c>
    </row>
    <row r="26" spans="1:37" ht="24" customHeight="1">
      <c r="D26" s="1561"/>
      <c r="E26" s="1587" t="s">
        <v>874</v>
      </c>
      <c r="F26" s="882" t="s">
        <v>875</v>
      </c>
      <c r="G26" s="1566" t="s">
        <v>569</v>
      </c>
      <c r="H26" s="493"/>
      <c r="I26" s="493"/>
      <c r="J26" s="493"/>
      <c r="K26" s="493"/>
      <c r="L26" s="493"/>
      <c r="M26" s="493"/>
      <c r="N26" s="493"/>
      <c r="O26" s="226" t="s">
        <v>876</v>
      </c>
      <c r="P26" s="479"/>
      <c r="AK26" s="1554">
        <v>23</v>
      </c>
    </row>
    <row r="27" spans="1:37" ht="19.899999999999999" customHeight="1">
      <c r="D27" s="1561"/>
      <c r="E27" s="1597" t="s">
        <v>877</v>
      </c>
      <c r="F27" s="1573" t="s">
        <v>878</v>
      </c>
      <c r="G27" s="1577" t="s">
        <v>569</v>
      </c>
      <c r="H27" s="1598"/>
      <c r="I27" s="1598"/>
      <c r="J27" s="1598"/>
      <c r="K27" s="1598"/>
      <c r="L27" s="1598"/>
      <c r="M27" s="1598"/>
      <c r="N27" s="1598"/>
      <c r="O27" s="226"/>
      <c r="P27" s="479"/>
      <c r="AK27" s="1554">
        <v>19</v>
      </c>
    </row>
    <row r="28" spans="1:37" ht="19.899999999999999" customHeight="1">
      <c r="D28" s="1561"/>
      <c r="E28" s="1597" t="s">
        <v>879</v>
      </c>
      <c r="F28" s="1573" t="s">
        <v>880</v>
      </c>
      <c r="G28" s="1577" t="s">
        <v>569</v>
      </c>
      <c r="H28" s="1598"/>
      <c r="I28" s="1598"/>
      <c r="J28" s="1598"/>
      <c r="K28" s="1598"/>
      <c r="L28" s="1598"/>
      <c r="M28" s="1598"/>
      <c r="N28" s="1598"/>
      <c r="O28" s="226"/>
      <c r="P28" s="479"/>
      <c r="AK28" s="1554">
        <v>19</v>
      </c>
    </row>
    <row r="29" spans="1:37" ht="19.899999999999999" customHeight="1">
      <c r="D29" s="1561"/>
      <c r="E29" s="1597" t="s">
        <v>881</v>
      </c>
      <c r="F29" s="882" t="s">
        <v>882</v>
      </c>
      <c r="G29" s="1577" t="s">
        <v>569</v>
      </c>
      <c r="H29" s="1598"/>
      <c r="I29" s="1598"/>
      <c r="J29" s="1598"/>
      <c r="K29" s="1598"/>
      <c r="L29" s="1598"/>
      <c r="M29" s="1598"/>
      <c r="N29" s="1598"/>
      <c r="O29" s="226"/>
      <c r="P29" s="479"/>
      <c r="AK29" s="1554">
        <v>19</v>
      </c>
    </row>
    <row r="30" spans="1:37" ht="19.899999999999999" customHeight="1">
      <c r="D30" s="1561"/>
      <c r="E30" s="1597" t="s">
        <v>883</v>
      </c>
      <c r="F30" s="882" t="s">
        <v>884</v>
      </c>
      <c r="G30" s="1577" t="s">
        <v>569</v>
      </c>
      <c r="H30" s="1598"/>
      <c r="I30" s="1598"/>
      <c r="J30" s="1598"/>
      <c r="K30" s="1598"/>
      <c r="L30" s="1598"/>
      <c r="M30" s="1598"/>
      <c r="N30" s="1598"/>
      <c r="O30" s="226"/>
      <c r="P30" s="479"/>
      <c r="AK30" s="1554">
        <v>19</v>
      </c>
    </row>
    <row r="31" spans="1:37" ht="19.899999999999999" customHeight="1">
      <c r="D31" s="1561"/>
      <c r="E31" s="1597" t="s">
        <v>885</v>
      </c>
      <c r="F31" s="882" t="s">
        <v>886</v>
      </c>
      <c r="G31" s="1577" t="s">
        <v>569</v>
      </c>
      <c r="H31" s="1598"/>
      <c r="I31" s="1598"/>
      <c r="J31" s="1598"/>
      <c r="K31" s="1598"/>
      <c r="L31" s="1598"/>
      <c r="M31" s="1598"/>
      <c r="N31" s="1598"/>
      <c r="O31" s="226"/>
      <c r="P31" s="479"/>
      <c r="AK31" s="1554">
        <v>19</v>
      </c>
    </row>
    <row r="32" spans="1:37" s="1289" customFormat="1" ht="35.65" customHeight="1">
      <c r="A32" s="914"/>
      <c r="C32" s="1559"/>
      <c r="D32" s="1561"/>
      <c r="E32" s="1597" t="s">
        <v>887</v>
      </c>
      <c r="F32" s="882" t="s">
        <v>888</v>
      </c>
      <c r="G32" s="1567" t="s">
        <v>569</v>
      </c>
      <c r="H32" s="515">
        <f t="shared" ref="H32:N32" si="4">SUM(H33:H34)</f>
        <v>0</v>
      </c>
      <c r="I32" s="515">
        <f t="shared" si="4"/>
        <v>0</v>
      </c>
      <c r="J32" s="515">
        <f t="shared" si="4"/>
        <v>0</v>
      </c>
      <c r="K32" s="515">
        <f t="shared" si="4"/>
        <v>0</v>
      </c>
      <c r="L32" s="515">
        <f t="shared" si="4"/>
        <v>0</v>
      </c>
      <c r="M32" s="515">
        <f t="shared" si="4"/>
        <v>0</v>
      </c>
      <c r="N32" s="515">
        <f t="shared" si="4"/>
        <v>0</v>
      </c>
      <c r="O32" s="226" t="s">
        <v>889</v>
      </c>
      <c r="P32" s="479"/>
      <c r="Q32" s="1559"/>
      <c r="R32" s="1559"/>
      <c r="W32" s="1559"/>
      <c r="Z32" s="480"/>
      <c r="AF32" s="1555"/>
      <c r="AG32" s="1555"/>
      <c r="AH32" s="1555"/>
      <c r="AI32" s="1555"/>
      <c r="AJ32" s="1555"/>
      <c r="AK32" s="1083">
        <v>34</v>
      </c>
    </row>
    <row r="33" spans="1:37" s="1565" customFormat="1" ht="1.1499999999999999" customHeight="1">
      <c r="A33" s="1090"/>
      <c r="D33" s="484"/>
      <c r="E33" s="731" t="str">
        <f>E32&amp;".0"</f>
        <v>2.8.0</v>
      </c>
      <c r="F33" s="918"/>
      <c r="G33" s="487"/>
      <c r="H33" s="919"/>
      <c r="I33" s="919"/>
      <c r="J33" s="919"/>
      <c r="K33" s="919"/>
      <c r="L33" s="919"/>
      <c r="M33" s="919"/>
      <c r="N33" s="919"/>
      <c r="O33" s="920"/>
      <c r="AK33" s="1559">
        <v>1</v>
      </c>
    </row>
    <row r="34" spans="1:37" s="1289" customFormat="1" ht="19.899999999999999" customHeight="1">
      <c r="A34" s="914"/>
      <c r="C34" s="1559"/>
      <c r="D34" s="1556"/>
      <c r="E34" s="506"/>
      <c r="F34" s="1588" t="s">
        <v>604</v>
      </c>
      <c r="G34" s="508"/>
      <c r="H34" s="509"/>
      <c r="I34" s="509"/>
      <c r="J34" s="2094"/>
      <c r="K34" s="2095"/>
      <c r="L34" s="2096"/>
      <c r="M34" s="2097"/>
      <c r="N34" s="2098"/>
      <c r="O34" s="238" t="s">
        <v>890</v>
      </c>
      <c r="P34" s="479"/>
      <c r="Q34" s="1559"/>
      <c r="R34" s="1559"/>
      <c r="W34" s="1559"/>
      <c r="Z34" s="480"/>
      <c r="AF34" s="1555"/>
      <c r="AG34" s="1555"/>
      <c r="AH34" s="1555"/>
      <c r="AI34" s="1555"/>
      <c r="AJ34" s="1555"/>
      <c r="AK34" s="1083">
        <v>19</v>
      </c>
    </row>
    <row r="35" spans="1:37" ht="60" customHeight="1">
      <c r="D35" s="1561"/>
      <c r="E35" s="1597" t="s">
        <v>891</v>
      </c>
      <c r="F35" s="882" t="s">
        <v>892</v>
      </c>
      <c r="G35" s="1577" t="s">
        <v>569</v>
      </c>
      <c r="H35" s="1598"/>
      <c r="I35" s="1598"/>
      <c r="J35" s="1598"/>
      <c r="K35" s="1598"/>
      <c r="L35" s="1598"/>
      <c r="M35" s="1598"/>
      <c r="N35" s="1598"/>
      <c r="O35" s="226" t="s">
        <v>893</v>
      </c>
      <c r="P35" s="479"/>
      <c r="AK35" s="1554">
        <v>57</v>
      </c>
    </row>
    <row r="36" spans="1:37" ht="19.899999999999999" customHeight="1">
      <c r="D36" s="1992"/>
      <c r="E36" s="1597" t="s">
        <v>894</v>
      </c>
      <c r="F36" s="1996" t="s">
        <v>895</v>
      </c>
      <c r="G36" s="1991" t="s">
        <v>569</v>
      </c>
      <c r="H36" s="1997"/>
      <c r="I36" s="1997"/>
      <c r="J36" s="1997"/>
      <c r="K36" s="1997"/>
      <c r="L36" s="1997"/>
      <c r="M36" s="1997"/>
      <c r="N36" s="1997"/>
      <c r="O36" s="1998" t="s">
        <v>896</v>
      </c>
      <c r="P36" s="479"/>
      <c r="AK36" s="1554">
        <v>19</v>
      </c>
    </row>
    <row r="37" spans="1:37" ht="19.899999999999999" customHeight="1">
      <c r="D37" s="1992"/>
      <c r="E37" s="1597" t="s">
        <v>897</v>
      </c>
      <c r="F37" s="1996" t="s">
        <v>898</v>
      </c>
      <c r="G37" s="1991" t="s">
        <v>569</v>
      </c>
      <c r="H37" s="1997"/>
      <c r="I37" s="1997"/>
      <c r="J37" s="1997"/>
      <c r="K37" s="1997"/>
      <c r="L37" s="1997"/>
      <c r="M37" s="1997"/>
      <c r="N37" s="1997"/>
      <c r="O37" s="1998" t="s">
        <v>899</v>
      </c>
      <c r="P37" s="479"/>
      <c r="AK37" s="1554">
        <v>19</v>
      </c>
    </row>
    <row r="38" spans="1:37" s="1289" customFormat="1" ht="24" customHeight="1">
      <c r="A38" s="916" t="s">
        <v>605</v>
      </c>
      <c r="C38" s="1559"/>
      <c r="D38" s="1561"/>
      <c r="E38" s="1587" t="s">
        <v>91</v>
      </c>
      <c r="F38" s="643" t="s">
        <v>900</v>
      </c>
      <c r="G38" s="1566" t="s">
        <v>569</v>
      </c>
      <c r="H38" s="493"/>
      <c r="I38" s="493"/>
      <c r="J38" s="493"/>
      <c r="K38" s="493"/>
      <c r="L38" s="493"/>
      <c r="M38" s="493"/>
      <c r="N38" s="493"/>
      <c r="O38" s="226" t="s">
        <v>901</v>
      </c>
      <c r="P38" s="479"/>
      <c r="Q38" s="1559"/>
      <c r="R38" s="1559"/>
      <c r="W38" s="1559"/>
      <c r="Z38" s="480"/>
      <c r="AF38" s="1555"/>
      <c r="AG38" s="1555"/>
      <c r="AH38" s="1555"/>
      <c r="AI38" s="1555"/>
      <c r="AJ38" s="1555"/>
      <c r="AK38" s="1083">
        <v>23</v>
      </c>
    </row>
    <row r="39" spans="1:37" s="1289" customFormat="1" ht="35.65" customHeight="1">
      <c r="A39" s="916"/>
      <c r="C39" s="1559"/>
      <c r="D39" s="1561"/>
      <c r="E39" s="1587" t="s">
        <v>343</v>
      </c>
      <c r="F39" s="882" t="s">
        <v>902</v>
      </c>
      <c r="G39" s="1577"/>
      <c r="H39" s="493"/>
      <c r="I39" s="493"/>
      <c r="J39" s="493"/>
      <c r="K39" s="493"/>
      <c r="L39" s="493"/>
      <c r="M39" s="493"/>
      <c r="N39" s="493"/>
      <c r="O39" s="226"/>
      <c r="P39" s="479"/>
      <c r="Q39" s="1559"/>
      <c r="R39" s="1559"/>
      <c r="W39" s="1559"/>
      <c r="Z39" s="480"/>
      <c r="AF39" s="1555"/>
      <c r="AG39" s="1555"/>
      <c r="AH39" s="1555"/>
      <c r="AI39" s="1555"/>
      <c r="AJ39" s="1555"/>
      <c r="AK39" s="1083">
        <v>34</v>
      </c>
    </row>
    <row r="40" spans="1:37" s="1289" customFormat="1" ht="19.899999999999999" customHeight="1">
      <c r="A40" s="914"/>
      <c r="C40" s="1559"/>
      <c r="D40" s="511"/>
      <c r="E40" s="1587" t="s">
        <v>92</v>
      </c>
      <c r="F40" s="643" t="s">
        <v>903</v>
      </c>
      <c r="G40" s="1566" t="s">
        <v>569</v>
      </c>
      <c r="H40" s="493"/>
      <c r="I40" s="493"/>
      <c r="J40" s="493"/>
      <c r="K40" s="493"/>
      <c r="L40" s="493"/>
      <c r="M40" s="493"/>
      <c r="N40" s="493"/>
      <c r="O40" s="226" t="s">
        <v>904</v>
      </c>
      <c r="P40" s="479"/>
      <c r="Q40" s="1559"/>
      <c r="R40" s="1559"/>
      <c r="W40" s="1559"/>
      <c r="Z40" s="480"/>
      <c r="AF40" s="1555"/>
      <c r="AG40" s="1555"/>
      <c r="AH40" s="1555"/>
      <c r="AI40" s="1555"/>
      <c r="AJ40" s="1555"/>
      <c r="AK40" s="1083">
        <v>19</v>
      </c>
    </row>
    <row r="41" spans="1:37" s="1289" customFormat="1" ht="24" customHeight="1">
      <c r="A41" s="914"/>
      <c r="C41" s="1559"/>
      <c r="D41" s="511"/>
      <c r="E41" s="1587" t="s">
        <v>905</v>
      </c>
      <c r="F41" s="882" t="s">
        <v>906</v>
      </c>
      <c r="G41" s="1577" t="s">
        <v>569</v>
      </c>
      <c r="H41" s="493"/>
      <c r="I41" s="493"/>
      <c r="J41" s="493"/>
      <c r="K41" s="493"/>
      <c r="L41" s="493"/>
      <c r="M41" s="493"/>
      <c r="N41" s="493"/>
      <c r="O41" s="226" t="s">
        <v>907</v>
      </c>
      <c r="P41" s="479"/>
      <c r="Q41" s="1559"/>
      <c r="R41" s="1559"/>
      <c r="W41" s="1559"/>
      <c r="Z41" s="480"/>
      <c r="AF41" s="1555"/>
      <c r="AG41" s="1555"/>
      <c r="AH41" s="1555"/>
      <c r="AI41" s="1555"/>
      <c r="AJ41" s="1555"/>
      <c r="AK41" s="1083">
        <v>23</v>
      </c>
    </row>
    <row r="42" spans="1:37" s="1289" customFormat="1" ht="24" customHeight="1">
      <c r="A42" s="914"/>
      <c r="C42" s="1559"/>
      <c r="D42" s="1561"/>
      <c r="E42" s="1587" t="s">
        <v>908</v>
      </c>
      <c r="F42" s="1573" t="s">
        <v>909</v>
      </c>
      <c r="G42" s="1566" t="s">
        <v>569</v>
      </c>
      <c r="H42" s="493"/>
      <c r="I42" s="493"/>
      <c r="J42" s="493"/>
      <c r="K42" s="493"/>
      <c r="L42" s="493"/>
      <c r="M42" s="493"/>
      <c r="N42" s="493"/>
      <c r="O42" s="226" t="s">
        <v>910</v>
      </c>
      <c r="P42" s="479"/>
      <c r="Q42" s="1559"/>
      <c r="R42" s="1559"/>
      <c r="W42" s="1559"/>
      <c r="Z42" s="480"/>
      <c r="AF42" s="1555"/>
      <c r="AG42" s="1555"/>
      <c r="AH42" s="1555"/>
      <c r="AI42" s="1555"/>
      <c r="AJ42" s="1555"/>
      <c r="AK42" s="1083">
        <v>23</v>
      </c>
    </row>
    <row r="43" spans="1:37" s="1289" customFormat="1" ht="24" customHeight="1">
      <c r="A43" s="914"/>
      <c r="C43" s="1559"/>
      <c r="D43" s="1561"/>
      <c r="E43" s="1587" t="s">
        <v>911</v>
      </c>
      <c r="F43" s="1573" t="s">
        <v>912</v>
      </c>
      <c r="G43" s="1566" t="s">
        <v>569</v>
      </c>
      <c r="H43" s="493"/>
      <c r="I43" s="493"/>
      <c r="J43" s="493"/>
      <c r="K43" s="493"/>
      <c r="L43" s="493"/>
      <c r="M43" s="493"/>
      <c r="N43" s="493"/>
      <c r="O43" s="226" t="s">
        <v>913</v>
      </c>
      <c r="P43" s="479"/>
      <c r="Q43" s="1559"/>
      <c r="R43" s="1559"/>
      <c r="W43" s="1559"/>
      <c r="Z43" s="480"/>
      <c r="AF43" s="1555"/>
      <c r="AG43" s="1555"/>
      <c r="AH43" s="1555"/>
      <c r="AI43" s="1555"/>
      <c r="AJ43" s="1555"/>
      <c r="AK43" s="1083">
        <v>23</v>
      </c>
    </row>
    <row r="44" spans="1:37" s="1289" customFormat="1" ht="24" customHeight="1">
      <c r="A44" s="914"/>
      <c r="C44" s="1559"/>
      <c r="D44" s="1561"/>
      <c r="E44" s="1587" t="s">
        <v>914</v>
      </c>
      <c r="F44" s="1573" t="s">
        <v>915</v>
      </c>
      <c r="G44" s="1566" t="s">
        <v>569</v>
      </c>
      <c r="H44" s="493"/>
      <c r="I44" s="493"/>
      <c r="J44" s="493"/>
      <c r="K44" s="493"/>
      <c r="L44" s="493"/>
      <c r="M44" s="493"/>
      <c r="N44" s="493"/>
      <c r="O44" s="226" t="s">
        <v>916</v>
      </c>
      <c r="P44" s="479"/>
      <c r="Q44" s="1559"/>
      <c r="R44" s="1559"/>
      <c r="W44" s="1559"/>
      <c r="Z44" s="480"/>
      <c r="AF44" s="1555"/>
      <c r="AG44" s="1555"/>
      <c r="AH44" s="1555"/>
      <c r="AI44" s="1555"/>
      <c r="AJ44" s="1555"/>
      <c r="AK44" s="1083">
        <v>23</v>
      </c>
    </row>
    <row r="45" spans="1:37" s="1289" customFormat="1" ht="35.65" customHeight="1">
      <c r="A45" s="914"/>
      <c r="C45" s="1559" t="s">
        <v>607</v>
      </c>
      <c r="D45" s="1561"/>
      <c r="E45" s="1587" t="s">
        <v>123</v>
      </c>
      <c r="F45" s="643" t="s">
        <v>775</v>
      </c>
      <c r="G45" s="1569" t="s">
        <v>917</v>
      </c>
      <c r="H45" s="337"/>
      <c r="I45" s="337"/>
      <c r="J45" s="747"/>
      <c r="K45" s="747"/>
      <c r="L45" s="747"/>
      <c r="M45" s="747"/>
      <c r="N45" s="747"/>
      <c r="O45" s="226" t="s">
        <v>918</v>
      </c>
      <c r="P45" s="479"/>
      <c r="Q45" s="1559"/>
      <c r="R45" s="1559"/>
      <c r="W45" s="1559"/>
      <c r="Z45" s="480"/>
      <c r="AF45" s="1555"/>
      <c r="AG45" s="1555"/>
      <c r="AH45" s="1555"/>
      <c r="AI45" s="1555"/>
      <c r="AJ45" s="1555"/>
      <c r="AK45" s="1083">
        <v>34</v>
      </c>
    </row>
    <row r="46" spans="1:37" s="1289" customFormat="1" ht="35.65" customHeight="1">
      <c r="A46" s="914"/>
      <c r="C46" s="1559"/>
      <c r="D46" s="1561"/>
      <c r="E46" s="1587" t="s">
        <v>93</v>
      </c>
      <c r="F46" s="643" t="s">
        <v>919</v>
      </c>
      <c r="G46" s="1566" t="s">
        <v>920</v>
      </c>
      <c r="H46" s="481"/>
      <c r="I46" s="481"/>
      <c r="J46" s="481"/>
      <c r="K46" s="481"/>
      <c r="L46" s="481"/>
      <c r="M46" s="481"/>
      <c r="N46" s="481"/>
      <c r="O46" s="226" t="s">
        <v>921</v>
      </c>
      <c r="P46" s="479"/>
      <c r="Q46" s="1559"/>
      <c r="R46" s="1559"/>
      <c r="W46" s="1559"/>
      <c r="Z46" s="480"/>
      <c r="AF46" s="1555"/>
      <c r="AG46" s="1555"/>
      <c r="AH46" s="1555"/>
      <c r="AI46" s="1555"/>
      <c r="AJ46" s="1555"/>
      <c r="AK46" s="1083">
        <v>34</v>
      </c>
    </row>
    <row r="47" spans="1:37" s="1289" customFormat="1" ht="24" customHeight="1">
      <c r="A47" s="914"/>
      <c r="C47" s="1559"/>
      <c r="D47" s="1561"/>
      <c r="E47" s="1587" t="s">
        <v>94</v>
      </c>
      <c r="F47" s="643" t="s">
        <v>922</v>
      </c>
      <c r="G47" s="1577" t="s">
        <v>923</v>
      </c>
      <c r="H47" s="481"/>
      <c r="I47" s="481"/>
      <c r="J47" s="481"/>
      <c r="K47" s="481"/>
      <c r="L47" s="481"/>
      <c r="M47" s="481"/>
      <c r="N47" s="481"/>
      <c r="O47" s="226" t="s">
        <v>924</v>
      </c>
      <c r="P47" s="479"/>
      <c r="Q47" s="1559"/>
      <c r="R47" s="1559"/>
      <c r="W47" s="1559"/>
      <c r="Z47" s="480"/>
      <c r="AF47" s="1555"/>
      <c r="AG47" s="1555"/>
      <c r="AH47" s="1555"/>
      <c r="AI47" s="1555"/>
      <c r="AJ47" s="1555"/>
      <c r="AK47" s="1083">
        <v>23</v>
      </c>
    </row>
    <row r="48" spans="1:37" s="1289" customFormat="1" ht="19.899999999999999" customHeight="1">
      <c r="A48" s="914"/>
      <c r="C48" s="1559"/>
      <c r="D48" s="1561"/>
      <c r="E48" s="1587" t="s">
        <v>124</v>
      </c>
      <c r="F48" s="643" t="s">
        <v>925</v>
      </c>
      <c r="G48" s="1566" t="s">
        <v>624</v>
      </c>
      <c r="H48" s="513"/>
      <c r="I48" s="513"/>
      <c r="J48" s="513"/>
      <c r="K48" s="513"/>
      <c r="L48" s="513"/>
      <c r="M48" s="513"/>
      <c r="N48" s="513"/>
      <c r="O48" s="226"/>
      <c r="P48" s="479"/>
      <c r="Q48" s="1559"/>
      <c r="R48" s="1559"/>
      <c r="W48" s="1559"/>
      <c r="Z48" s="480"/>
      <c r="AF48" s="1555"/>
      <c r="AG48" s="1555"/>
      <c r="AH48" s="1555"/>
      <c r="AI48" s="1555"/>
      <c r="AJ48" s="1555"/>
      <c r="AK48" s="1083">
        <v>19</v>
      </c>
    </row>
    <row r="49" spans="1:37" ht="11.45" customHeight="1">
      <c r="D49" s="1561"/>
      <c r="AK49" s="1554">
        <v>11</v>
      </c>
    </row>
    <row r="50" spans="1:37" s="1564" customFormat="1" ht="11.45" customHeight="1">
      <c r="A50" s="914"/>
      <c r="B50" s="1559"/>
      <c r="C50" s="1559"/>
      <c r="D50" s="287"/>
      <c r="P50" s="1083"/>
      <c r="Q50" s="1559"/>
      <c r="R50" s="1559"/>
      <c r="S50" s="1083"/>
      <c r="T50" s="1083"/>
      <c r="U50" s="1083"/>
      <c r="V50" s="1083"/>
      <c r="W50" s="1559"/>
      <c r="X50" s="1083"/>
      <c r="Y50" s="1083"/>
      <c r="Z50" s="480"/>
      <c r="AA50" s="1083"/>
      <c r="AB50" s="1083"/>
      <c r="AC50" s="1083"/>
      <c r="AD50" s="1083"/>
      <c r="AE50" s="1083"/>
      <c r="AF50" s="1555"/>
      <c r="AG50" s="502"/>
      <c r="AH50" s="502"/>
      <c r="AI50" s="502"/>
      <c r="AJ50" s="502"/>
      <c r="AK50" s="1564">
        <v>11</v>
      </c>
    </row>
    <row r="51" spans="1:37" s="1564" customFormat="1" ht="11.45" customHeight="1">
      <c r="A51" s="914"/>
      <c r="B51" s="1559"/>
      <c r="C51" s="1559"/>
      <c r="D51" s="287"/>
      <c r="P51" s="1083"/>
      <c r="Q51" s="1559"/>
      <c r="R51" s="1559"/>
      <c r="S51" s="1083"/>
      <c r="T51" s="1083"/>
      <c r="U51" s="1083"/>
      <c r="V51" s="1083"/>
      <c r="W51" s="1559"/>
      <c r="X51" s="1083"/>
      <c r="Y51" s="1083"/>
      <c r="Z51" s="480"/>
      <c r="AA51" s="1083"/>
      <c r="AB51" s="1083"/>
      <c r="AC51" s="1083"/>
      <c r="AD51" s="1083"/>
      <c r="AE51" s="1083"/>
      <c r="AF51" s="1555"/>
      <c r="AG51" s="502"/>
      <c r="AH51" s="502"/>
      <c r="AI51" s="502"/>
      <c r="AJ51" s="502"/>
      <c r="AK51" s="1564">
        <v>11</v>
      </c>
    </row>
    <row r="52" spans="1:37" s="1564" customFormat="1" ht="11.45" customHeight="1">
      <c r="A52" s="914"/>
      <c r="B52" s="1559"/>
      <c r="C52" s="1559"/>
      <c r="D52" s="287"/>
      <c r="H52" s="502"/>
      <c r="I52" s="502"/>
      <c r="J52" s="558"/>
      <c r="K52" s="558"/>
      <c r="L52" s="558"/>
      <c r="M52" s="558"/>
      <c r="N52" s="558"/>
      <c r="P52" s="1083"/>
      <c r="Q52" s="1559"/>
      <c r="R52" s="1559"/>
      <c r="S52" s="1083"/>
      <c r="T52" s="1083"/>
      <c r="U52" s="1083"/>
      <c r="V52" s="1083"/>
      <c r="W52" s="1559"/>
      <c r="X52" s="1083"/>
      <c r="Y52" s="1083"/>
      <c r="Z52" s="480"/>
      <c r="AA52" s="1083"/>
      <c r="AB52" s="1083"/>
      <c r="AC52" s="1083"/>
      <c r="AD52" s="1083"/>
      <c r="AE52" s="1083"/>
      <c r="AF52" s="1555"/>
      <c r="AG52" s="502"/>
      <c r="AH52" s="502"/>
      <c r="AI52" s="502"/>
      <c r="AJ52" s="502"/>
      <c r="AK52" s="1564">
        <v>11</v>
      </c>
    </row>
    <row r="53" spans="1:37" s="1564" customFormat="1" ht="11.45" customHeight="1">
      <c r="A53" s="914"/>
      <c r="B53" s="1559"/>
      <c r="C53" s="1559"/>
      <c r="D53" s="287"/>
      <c r="P53" s="1083"/>
      <c r="Q53" s="1559"/>
      <c r="R53" s="1559"/>
      <c r="S53" s="1083"/>
      <c r="T53" s="1083"/>
      <c r="U53" s="1083"/>
      <c r="V53" s="1083"/>
      <c r="W53" s="1559"/>
      <c r="X53" s="1083"/>
      <c r="Y53" s="1083"/>
      <c r="Z53" s="480"/>
      <c r="AA53" s="1083"/>
      <c r="AB53" s="1083"/>
      <c r="AC53" s="1083"/>
      <c r="AD53" s="1083"/>
      <c r="AE53" s="1083"/>
      <c r="AF53" s="1555"/>
      <c r="AG53" s="502"/>
      <c r="AH53" s="502"/>
      <c r="AI53" s="502"/>
      <c r="AJ53" s="502"/>
      <c r="AK53" s="1564">
        <v>11</v>
      </c>
    </row>
    <row r="54" spans="1:37" s="1564" customFormat="1" ht="11.45" customHeight="1">
      <c r="A54" s="914"/>
      <c r="B54" s="1559"/>
      <c r="C54" s="1559"/>
      <c r="D54" s="287"/>
      <c r="P54" s="1083"/>
      <c r="Q54" s="1559"/>
      <c r="R54" s="1559"/>
      <c r="S54" s="1083"/>
      <c r="T54" s="1083"/>
      <c r="U54" s="1083"/>
      <c r="V54" s="1083"/>
      <c r="W54" s="1559"/>
      <c r="X54" s="1083"/>
      <c r="Y54" s="1083"/>
      <c r="Z54" s="480"/>
      <c r="AA54" s="1083"/>
      <c r="AB54" s="1083"/>
      <c r="AC54" s="1083"/>
      <c r="AD54" s="1083"/>
      <c r="AE54" s="1083"/>
      <c r="AF54" s="1555"/>
      <c r="AG54" s="502"/>
      <c r="AH54" s="502"/>
      <c r="AI54" s="502"/>
      <c r="AJ54" s="502"/>
      <c r="AK54" s="1564">
        <v>11</v>
      </c>
    </row>
    <row r="55" spans="1:37" s="1564" customFormat="1" ht="11.45" customHeight="1">
      <c r="A55" s="914"/>
      <c r="B55" s="1559"/>
      <c r="C55" s="1559"/>
      <c r="D55" s="287"/>
      <c r="P55" s="1083"/>
      <c r="Q55" s="1559"/>
      <c r="R55" s="1559"/>
      <c r="S55" s="1083"/>
      <c r="T55" s="1083"/>
      <c r="U55" s="1083"/>
      <c r="V55" s="1083"/>
      <c r="W55" s="1559"/>
      <c r="X55" s="1083"/>
      <c r="Y55" s="1083"/>
      <c r="Z55" s="480"/>
      <c r="AA55" s="1083"/>
      <c r="AB55" s="1083"/>
      <c r="AC55" s="1083"/>
      <c r="AD55" s="1083"/>
      <c r="AE55" s="1083"/>
      <c r="AF55" s="1555"/>
      <c r="AG55" s="502"/>
      <c r="AH55" s="502"/>
      <c r="AI55" s="502"/>
      <c r="AJ55" s="502"/>
      <c r="AK55" s="1564">
        <v>11</v>
      </c>
    </row>
    <row r="56" spans="1:37" s="1564" customFormat="1" ht="11.45" customHeight="1">
      <c r="A56" s="914"/>
      <c r="B56" s="1559"/>
      <c r="C56" s="1559"/>
      <c r="D56" s="287"/>
      <c r="P56" s="1083"/>
      <c r="Q56" s="1559"/>
      <c r="R56" s="1559"/>
      <c r="S56" s="1083"/>
      <c r="T56" s="1083"/>
      <c r="U56" s="1083"/>
      <c r="V56" s="1083"/>
      <c r="W56" s="1559"/>
      <c r="X56" s="1083"/>
      <c r="Y56" s="1083"/>
      <c r="Z56" s="480"/>
      <c r="AA56" s="1083"/>
      <c r="AB56" s="1083"/>
      <c r="AC56" s="1083"/>
      <c r="AD56" s="1083"/>
      <c r="AE56" s="1083"/>
      <c r="AF56" s="1555"/>
      <c r="AG56" s="502"/>
      <c r="AH56" s="502"/>
      <c r="AI56" s="502"/>
      <c r="AJ56" s="502"/>
      <c r="AK56" s="1564">
        <v>11</v>
      </c>
    </row>
    <row r="57" spans="1:37" s="1564" customFormat="1" ht="11.45" customHeight="1">
      <c r="A57" s="914"/>
      <c r="B57" s="1559"/>
      <c r="C57" s="1559"/>
      <c r="D57" s="287"/>
      <c r="P57" s="1083"/>
      <c r="Q57" s="1559"/>
      <c r="R57" s="1559"/>
      <c r="S57" s="1083"/>
      <c r="T57" s="1083"/>
      <c r="U57" s="1083"/>
      <c r="V57" s="1083"/>
      <c r="W57" s="1559"/>
      <c r="X57" s="1083"/>
      <c r="Y57" s="1083"/>
      <c r="Z57" s="480"/>
      <c r="AA57" s="1083"/>
      <c r="AB57" s="1083"/>
      <c r="AC57" s="1083"/>
      <c r="AD57" s="1083"/>
      <c r="AE57" s="1083"/>
      <c r="AF57" s="1555"/>
      <c r="AG57" s="502"/>
      <c r="AH57" s="502"/>
      <c r="AI57" s="502"/>
      <c r="AJ57" s="502"/>
      <c r="AK57" s="1564">
        <v>11</v>
      </c>
    </row>
    <row r="58" spans="1:37" s="1564" customFormat="1" ht="11.45" customHeight="1">
      <c r="A58" s="914"/>
      <c r="B58" s="1559"/>
      <c r="C58" s="1559"/>
      <c r="D58" s="287"/>
      <c r="P58" s="1083"/>
      <c r="Q58" s="1559"/>
      <c r="R58" s="1559"/>
      <c r="S58" s="1083"/>
      <c r="T58" s="1083"/>
      <c r="U58" s="1083"/>
      <c r="V58" s="1083"/>
      <c r="W58" s="1559"/>
      <c r="X58" s="1083"/>
      <c r="Y58" s="1083"/>
      <c r="Z58" s="480"/>
      <c r="AA58" s="1083"/>
      <c r="AB58" s="1083"/>
      <c r="AC58" s="1083"/>
      <c r="AD58" s="1083"/>
      <c r="AE58" s="1083"/>
      <c r="AF58" s="1555"/>
      <c r="AG58" s="502"/>
      <c r="AH58" s="502"/>
      <c r="AI58" s="502"/>
      <c r="AJ58" s="502"/>
      <c r="AK58" s="1564">
        <v>11</v>
      </c>
    </row>
    <row r="59" spans="1:37" s="1564" customFormat="1" ht="11.45" customHeight="1">
      <c r="A59" s="914"/>
      <c r="B59" s="1559"/>
      <c r="C59" s="1559"/>
      <c r="D59" s="287"/>
      <c r="P59" s="1083"/>
      <c r="Q59" s="1559"/>
      <c r="R59" s="1559"/>
      <c r="S59" s="1083"/>
      <c r="T59" s="1083"/>
      <c r="U59" s="1083"/>
      <c r="V59" s="1083"/>
      <c r="W59" s="1559"/>
      <c r="X59" s="1083"/>
      <c r="Y59" s="1083"/>
      <c r="Z59" s="480"/>
      <c r="AA59" s="1083"/>
      <c r="AB59" s="1083"/>
      <c r="AC59" s="1083"/>
      <c r="AD59" s="1083"/>
      <c r="AE59" s="1083"/>
      <c r="AF59" s="1555"/>
      <c r="AG59" s="502"/>
      <c r="AH59" s="502"/>
      <c r="AI59" s="502"/>
      <c r="AJ59" s="502"/>
      <c r="AK59" s="1564">
        <v>11</v>
      </c>
    </row>
    <row r="60" spans="1:37" s="1564" customFormat="1" ht="11.45" customHeight="1">
      <c r="A60" s="914"/>
      <c r="B60" s="1559"/>
      <c r="C60" s="1559"/>
      <c r="D60" s="287"/>
      <c r="P60" s="1083"/>
      <c r="Q60" s="1559"/>
      <c r="R60" s="1559"/>
      <c r="S60" s="1083"/>
      <c r="T60" s="1083"/>
      <c r="U60" s="1083"/>
      <c r="V60" s="1083"/>
      <c r="W60" s="1559"/>
      <c r="X60" s="1083"/>
      <c r="Y60" s="1083"/>
      <c r="Z60" s="480"/>
      <c r="AA60" s="1083"/>
      <c r="AB60" s="1083"/>
      <c r="AC60" s="1083"/>
      <c r="AD60" s="1083"/>
      <c r="AE60" s="1083"/>
      <c r="AF60" s="1555"/>
      <c r="AG60" s="502"/>
      <c r="AH60" s="502"/>
      <c r="AI60" s="502"/>
      <c r="AJ60" s="502"/>
      <c r="AK60" s="1564">
        <v>11</v>
      </c>
    </row>
    <row r="61" spans="1:37" s="1564" customFormat="1" ht="11.45" customHeight="1">
      <c r="A61" s="914"/>
      <c r="B61" s="1559"/>
      <c r="C61" s="1559"/>
      <c r="D61" s="287"/>
      <c r="P61" s="1083"/>
      <c r="Q61" s="1559"/>
      <c r="R61" s="1559"/>
      <c r="S61" s="1083"/>
      <c r="T61" s="1083"/>
      <c r="U61" s="1083"/>
      <c r="V61" s="1083"/>
      <c r="W61" s="1559"/>
      <c r="X61" s="1083"/>
      <c r="Y61" s="1083"/>
      <c r="Z61" s="480"/>
      <c r="AA61" s="1083"/>
      <c r="AB61" s="1083"/>
      <c r="AC61" s="1083"/>
      <c r="AD61" s="1083"/>
      <c r="AE61" s="1083"/>
      <c r="AF61" s="1555"/>
      <c r="AG61" s="502"/>
      <c r="AH61" s="502"/>
      <c r="AI61" s="502"/>
      <c r="AJ61" s="502"/>
      <c r="AK61" s="1564">
        <v>11</v>
      </c>
    </row>
    <row r="62" spans="1:37" s="1564" customFormat="1" ht="11.45" customHeight="1">
      <c r="A62" s="914"/>
      <c r="B62" s="1559"/>
      <c r="C62" s="1559"/>
      <c r="D62" s="287"/>
      <c r="P62" s="1083"/>
      <c r="Q62" s="1559"/>
      <c r="R62" s="1559"/>
      <c r="S62" s="1083"/>
      <c r="T62" s="1083"/>
      <c r="U62" s="1083"/>
      <c r="V62" s="1083"/>
      <c r="W62" s="1559"/>
      <c r="X62" s="1083"/>
      <c r="Y62" s="1083"/>
      <c r="Z62" s="480"/>
      <c r="AA62" s="1083"/>
      <c r="AB62" s="1083"/>
      <c r="AC62" s="1083"/>
      <c r="AD62" s="1083"/>
      <c r="AE62" s="1083"/>
      <c r="AF62" s="1555"/>
      <c r="AG62" s="502"/>
      <c r="AH62" s="502"/>
      <c r="AI62" s="502"/>
      <c r="AJ62" s="502"/>
      <c r="AK62" s="1564">
        <v>11</v>
      </c>
    </row>
    <row r="63" spans="1:37" s="1564" customFormat="1" ht="11.45" customHeight="1">
      <c r="A63" s="914"/>
      <c r="B63" s="1559"/>
      <c r="C63" s="1559"/>
      <c r="D63" s="287"/>
      <c r="P63" s="1083"/>
      <c r="Q63" s="1559"/>
      <c r="R63" s="1559"/>
      <c r="S63" s="1083"/>
      <c r="T63" s="1083"/>
      <c r="U63" s="1083"/>
      <c r="V63" s="1083"/>
      <c r="W63" s="1559"/>
      <c r="X63" s="1083"/>
      <c r="Y63" s="1083"/>
      <c r="Z63" s="480"/>
      <c r="AA63" s="1083"/>
      <c r="AB63" s="1083"/>
      <c r="AC63" s="1083"/>
      <c r="AD63" s="1083"/>
      <c r="AE63" s="1083"/>
      <c r="AF63" s="1555"/>
      <c r="AG63" s="502"/>
      <c r="AH63" s="502"/>
      <c r="AI63" s="502"/>
      <c r="AJ63" s="502"/>
      <c r="AK63" s="1564">
        <v>11</v>
      </c>
    </row>
    <row r="64" spans="1:37" s="1564" customFormat="1" ht="11.45" customHeight="1">
      <c r="A64" s="914"/>
      <c r="B64" s="1559"/>
      <c r="C64" s="1559"/>
      <c r="D64" s="287"/>
      <c r="P64" s="1083"/>
      <c r="Q64" s="1559"/>
      <c r="R64" s="1559"/>
      <c r="S64" s="1083"/>
      <c r="T64" s="1083"/>
      <c r="U64" s="1083"/>
      <c r="V64" s="1083"/>
      <c r="W64" s="1559"/>
      <c r="X64" s="1083"/>
      <c r="Y64" s="1083"/>
      <c r="Z64" s="480"/>
      <c r="AA64" s="1083"/>
      <c r="AB64" s="1083"/>
      <c r="AC64" s="1083"/>
      <c r="AD64" s="1083"/>
      <c r="AE64" s="1083"/>
      <c r="AF64" s="1555"/>
      <c r="AG64" s="502"/>
      <c r="AH64" s="502"/>
      <c r="AI64" s="502"/>
      <c r="AJ64" s="502"/>
      <c r="AK64" s="1564">
        <v>11</v>
      </c>
    </row>
    <row r="65" spans="1:37" s="1564" customFormat="1" ht="11.45" customHeight="1">
      <c r="A65" s="914"/>
      <c r="B65" s="1559"/>
      <c r="C65" s="1559"/>
      <c r="D65" s="287"/>
      <c r="P65" s="1083"/>
      <c r="Q65" s="1559"/>
      <c r="R65" s="1559"/>
      <c r="S65" s="1083"/>
      <c r="T65" s="1083"/>
      <c r="U65" s="1083"/>
      <c r="V65" s="1083"/>
      <c r="W65" s="1559"/>
      <c r="X65" s="1083"/>
      <c r="Y65" s="1083"/>
      <c r="Z65" s="480"/>
      <c r="AA65" s="1083"/>
      <c r="AB65" s="1083"/>
      <c r="AC65" s="1083"/>
      <c r="AD65" s="1083"/>
      <c r="AE65" s="1083"/>
      <c r="AF65" s="1555"/>
      <c r="AG65" s="502"/>
      <c r="AH65" s="502"/>
      <c r="AI65" s="502"/>
      <c r="AJ65" s="502"/>
      <c r="AK65" s="1564">
        <v>11</v>
      </c>
    </row>
    <row r="66" spans="1:37" s="1564" customFormat="1" ht="11.45" customHeight="1">
      <c r="A66" s="914"/>
      <c r="B66" s="1559"/>
      <c r="C66" s="1559"/>
      <c r="D66" s="287"/>
      <c r="P66" s="1083"/>
      <c r="Q66" s="1559"/>
      <c r="R66" s="1559"/>
      <c r="S66" s="1083"/>
      <c r="T66" s="1083"/>
      <c r="U66" s="1083"/>
      <c r="V66" s="1083"/>
      <c r="W66" s="1559"/>
      <c r="X66" s="1083"/>
      <c r="Y66" s="1083"/>
      <c r="Z66" s="480"/>
      <c r="AA66" s="1083"/>
      <c r="AB66" s="1083"/>
      <c r="AC66" s="1083"/>
      <c r="AD66" s="1083"/>
      <c r="AE66" s="1083"/>
      <c r="AF66" s="1555"/>
      <c r="AG66" s="502"/>
      <c r="AH66" s="502"/>
      <c r="AI66" s="502"/>
      <c r="AJ66" s="502"/>
      <c r="AK66" s="1564">
        <v>11</v>
      </c>
    </row>
    <row r="67" spans="1:37" s="1564" customFormat="1" ht="11.45" customHeight="1">
      <c r="A67" s="914"/>
      <c r="B67" s="1559"/>
      <c r="C67" s="1559"/>
      <c r="D67" s="287"/>
      <c r="P67" s="1083"/>
      <c r="Q67" s="1559"/>
      <c r="R67" s="1559"/>
      <c r="S67" s="1083"/>
      <c r="T67" s="1083"/>
      <c r="U67" s="1083"/>
      <c r="V67" s="1083"/>
      <c r="W67" s="1559"/>
      <c r="X67" s="1083"/>
      <c r="Y67" s="1083"/>
      <c r="Z67" s="480"/>
      <c r="AA67" s="1083"/>
      <c r="AB67" s="1083"/>
      <c r="AC67" s="1083"/>
      <c r="AD67" s="1083"/>
      <c r="AE67" s="1083"/>
      <c r="AF67" s="1555"/>
      <c r="AG67" s="502"/>
      <c r="AH67" s="502"/>
      <c r="AI67" s="502"/>
      <c r="AJ67" s="502"/>
      <c r="AK67" s="1564">
        <v>11</v>
      </c>
    </row>
    <row r="68" spans="1:37" s="1564" customFormat="1" ht="11.45" customHeight="1">
      <c r="A68" s="914"/>
      <c r="B68" s="1559"/>
      <c r="C68" s="1559"/>
      <c r="D68" s="287"/>
      <c r="P68" s="1083"/>
      <c r="Q68" s="1559"/>
      <c r="R68" s="1559"/>
      <c r="S68" s="1083"/>
      <c r="T68" s="1083"/>
      <c r="U68" s="1083"/>
      <c r="V68" s="1083"/>
      <c r="W68" s="1559"/>
      <c r="X68" s="1083"/>
      <c r="Y68" s="1083"/>
      <c r="Z68" s="480"/>
      <c r="AA68" s="1083"/>
      <c r="AB68" s="1083"/>
      <c r="AC68" s="1083"/>
      <c r="AD68" s="1083"/>
      <c r="AE68" s="1083"/>
      <c r="AF68" s="1555"/>
      <c r="AG68" s="502"/>
      <c r="AH68" s="502"/>
      <c r="AI68" s="502"/>
      <c r="AJ68" s="502"/>
      <c r="AK68" s="1564">
        <v>11</v>
      </c>
    </row>
    <row r="69" spans="1:37" s="1564" customFormat="1" ht="11.45" customHeight="1">
      <c r="A69" s="914"/>
      <c r="B69" s="1559"/>
      <c r="C69" s="1559"/>
      <c r="D69" s="287"/>
      <c r="P69" s="1083"/>
      <c r="Q69" s="1559"/>
      <c r="R69" s="1559"/>
      <c r="S69" s="1083"/>
      <c r="T69" s="1083"/>
      <c r="U69" s="1083"/>
      <c r="V69" s="1083"/>
      <c r="W69" s="1559"/>
      <c r="X69" s="1083"/>
      <c r="Y69" s="1083"/>
      <c r="Z69" s="480"/>
      <c r="AA69" s="1083"/>
      <c r="AB69" s="1083"/>
      <c r="AC69" s="1083"/>
      <c r="AD69" s="1083"/>
      <c r="AE69" s="1083"/>
      <c r="AF69" s="1555"/>
      <c r="AG69" s="502"/>
      <c r="AH69" s="502"/>
      <c r="AI69" s="502"/>
      <c r="AJ69" s="502"/>
      <c r="AK69" s="1564">
        <v>11</v>
      </c>
    </row>
    <row r="70" spans="1:37" s="1564" customFormat="1" ht="11.45" customHeight="1">
      <c r="A70" s="914"/>
      <c r="B70" s="1559"/>
      <c r="C70" s="1559"/>
      <c r="D70" s="287"/>
      <c r="P70" s="1083"/>
      <c r="Q70" s="1559"/>
      <c r="R70" s="1559"/>
      <c r="S70" s="1083"/>
      <c r="T70" s="1083"/>
      <c r="U70" s="1083"/>
      <c r="V70" s="1083"/>
      <c r="W70" s="1559"/>
      <c r="X70" s="1083"/>
      <c r="Y70" s="1083"/>
      <c r="Z70" s="480"/>
      <c r="AA70" s="1083"/>
      <c r="AB70" s="1083"/>
      <c r="AC70" s="1083"/>
      <c r="AD70" s="1083"/>
      <c r="AE70" s="1083"/>
      <c r="AF70" s="1555"/>
      <c r="AG70" s="502"/>
      <c r="AH70" s="502"/>
      <c r="AI70" s="502"/>
      <c r="AJ70" s="502"/>
      <c r="AK70" s="1564">
        <v>11</v>
      </c>
    </row>
    <row r="71" spans="1:37" s="1564" customFormat="1" ht="11.45" customHeight="1">
      <c r="A71" s="914"/>
      <c r="B71" s="1559"/>
      <c r="C71" s="1559"/>
      <c r="D71" s="287"/>
      <c r="P71" s="1083"/>
      <c r="Q71" s="1559"/>
      <c r="R71" s="1559"/>
      <c r="S71" s="1083"/>
      <c r="T71" s="1083"/>
      <c r="U71" s="1083"/>
      <c r="V71" s="1083"/>
      <c r="W71" s="1559"/>
      <c r="X71" s="1083"/>
      <c r="Y71" s="1083"/>
      <c r="Z71" s="480"/>
      <c r="AA71" s="1083"/>
      <c r="AB71" s="1083"/>
      <c r="AC71" s="1083"/>
      <c r="AD71" s="1083"/>
      <c r="AE71" s="1083"/>
      <c r="AF71" s="1555"/>
      <c r="AG71" s="502"/>
      <c r="AH71" s="502"/>
      <c r="AI71" s="502"/>
      <c r="AJ71" s="502"/>
      <c r="AK71" s="1564">
        <v>11</v>
      </c>
    </row>
    <row r="72" spans="1:37" s="1564" customFormat="1" ht="11.45" customHeight="1">
      <c r="A72" s="914"/>
      <c r="B72" s="1559"/>
      <c r="C72" s="1559"/>
      <c r="D72" s="287"/>
      <c r="P72" s="1083"/>
      <c r="Q72" s="1559"/>
      <c r="R72" s="1559"/>
      <c r="S72" s="1083"/>
      <c r="T72" s="1083"/>
      <c r="U72" s="1083"/>
      <c r="V72" s="1083"/>
      <c r="W72" s="1559"/>
      <c r="X72" s="1083"/>
      <c r="Y72" s="1083"/>
      <c r="Z72" s="480"/>
      <c r="AA72" s="1083"/>
      <c r="AB72" s="1083"/>
      <c r="AC72" s="1083"/>
      <c r="AD72" s="1083"/>
      <c r="AE72" s="1083"/>
      <c r="AF72" s="1555"/>
      <c r="AG72" s="502"/>
      <c r="AH72" s="502"/>
      <c r="AI72" s="502"/>
      <c r="AJ72" s="502"/>
      <c r="AK72" s="1564">
        <v>11</v>
      </c>
    </row>
    <row r="73" spans="1:37" s="1564" customFormat="1" ht="11.45" customHeight="1">
      <c r="A73" s="914"/>
      <c r="B73" s="1559"/>
      <c r="C73" s="1559"/>
      <c r="D73" s="287"/>
      <c r="P73" s="1083"/>
      <c r="Q73" s="1559"/>
      <c r="R73" s="1559"/>
      <c r="S73" s="1083"/>
      <c r="T73" s="1083"/>
      <c r="U73" s="1083"/>
      <c r="V73" s="1083"/>
      <c r="W73" s="1559"/>
      <c r="X73" s="1083"/>
      <c r="Y73" s="1083"/>
      <c r="Z73" s="480"/>
      <c r="AA73" s="1083"/>
      <c r="AB73" s="1083"/>
      <c r="AC73" s="1083"/>
      <c r="AD73" s="1083"/>
      <c r="AE73" s="1083"/>
      <c r="AF73" s="1555"/>
      <c r="AG73" s="502"/>
      <c r="AH73" s="502"/>
      <c r="AI73" s="502"/>
      <c r="AJ73" s="502"/>
      <c r="AK73" s="1564">
        <v>11</v>
      </c>
    </row>
    <row r="74" spans="1:37" s="1564" customFormat="1" ht="11.45" customHeight="1">
      <c r="A74" s="914"/>
      <c r="B74" s="1559"/>
      <c r="C74" s="1559"/>
      <c r="D74" s="287"/>
      <c r="P74" s="1083"/>
      <c r="Q74" s="1559"/>
      <c r="R74" s="1559"/>
      <c r="S74" s="1083"/>
      <c r="T74" s="1083"/>
      <c r="U74" s="1083"/>
      <c r="V74" s="1083"/>
      <c r="W74" s="1559"/>
      <c r="X74" s="1083"/>
      <c r="Y74" s="1083"/>
      <c r="Z74" s="480"/>
      <c r="AA74" s="1083"/>
      <c r="AB74" s="1083"/>
      <c r="AC74" s="1083"/>
      <c r="AD74" s="1083"/>
      <c r="AE74" s="1083"/>
      <c r="AF74" s="1555"/>
      <c r="AG74" s="502"/>
      <c r="AH74" s="502"/>
      <c r="AI74" s="502"/>
      <c r="AJ74" s="502"/>
      <c r="AK74" s="1564">
        <v>11</v>
      </c>
    </row>
    <row r="75" spans="1:37" s="1564" customFormat="1" ht="11.45" customHeight="1">
      <c r="A75" s="914"/>
      <c r="B75" s="1559"/>
      <c r="C75" s="1559"/>
      <c r="D75" s="287"/>
      <c r="P75" s="1083"/>
      <c r="Q75" s="1559"/>
      <c r="R75" s="1559"/>
      <c r="S75" s="1083"/>
      <c r="T75" s="1083"/>
      <c r="U75" s="1083"/>
      <c r="V75" s="1083"/>
      <c r="W75" s="1559"/>
      <c r="X75" s="1083"/>
      <c r="Y75" s="1083"/>
      <c r="Z75" s="480"/>
      <c r="AA75" s="1083"/>
      <c r="AB75" s="1083"/>
      <c r="AC75" s="1083"/>
      <c r="AD75" s="1083"/>
      <c r="AE75" s="1083"/>
      <c r="AF75" s="1555"/>
      <c r="AG75" s="502"/>
      <c r="AH75" s="502"/>
      <c r="AI75" s="502"/>
      <c r="AJ75" s="502"/>
      <c r="AK75" s="1564">
        <v>11</v>
      </c>
    </row>
    <row r="76" spans="1:37" s="1564" customFormat="1" ht="11.45" customHeight="1">
      <c r="A76" s="914"/>
      <c r="B76" s="1559"/>
      <c r="C76" s="1559"/>
      <c r="D76" s="287"/>
      <c r="P76" s="1083"/>
      <c r="Q76" s="1559"/>
      <c r="R76" s="1559"/>
      <c r="S76" s="1083"/>
      <c r="T76" s="1083"/>
      <c r="U76" s="1083"/>
      <c r="V76" s="1083"/>
      <c r="W76" s="1559"/>
      <c r="X76" s="1083"/>
      <c r="Y76" s="1083"/>
      <c r="Z76" s="480"/>
      <c r="AA76" s="1083"/>
      <c r="AB76" s="1083"/>
      <c r="AC76" s="1083"/>
      <c r="AD76" s="1083"/>
      <c r="AE76" s="1083"/>
      <c r="AF76" s="1555"/>
      <c r="AG76" s="502"/>
      <c r="AH76" s="502"/>
      <c r="AI76" s="502"/>
      <c r="AJ76" s="502"/>
      <c r="AK76" s="1564">
        <v>11</v>
      </c>
    </row>
    <row r="77" spans="1:37" s="1564" customFormat="1" ht="11.45" customHeight="1">
      <c r="A77" s="914"/>
      <c r="B77" s="1559"/>
      <c r="C77" s="1559"/>
      <c r="D77" s="287"/>
      <c r="P77" s="1083"/>
      <c r="Q77" s="1559"/>
      <c r="R77" s="1559"/>
      <c r="S77" s="1083"/>
      <c r="T77" s="1083"/>
      <c r="U77" s="1083"/>
      <c r="V77" s="1083"/>
      <c r="W77" s="1559"/>
      <c r="X77" s="1083"/>
      <c r="Y77" s="1083"/>
      <c r="Z77" s="480"/>
      <c r="AA77" s="1083"/>
      <c r="AB77" s="1083"/>
      <c r="AC77" s="1083"/>
      <c r="AD77" s="1083"/>
      <c r="AE77" s="1083"/>
      <c r="AF77" s="1555"/>
      <c r="AG77" s="502"/>
      <c r="AH77" s="502"/>
      <c r="AI77" s="502"/>
      <c r="AJ77" s="502"/>
      <c r="AK77" s="1564">
        <v>11</v>
      </c>
    </row>
    <row r="78" spans="1:37" s="1564" customFormat="1" ht="11.45" customHeight="1">
      <c r="A78" s="914"/>
      <c r="B78" s="1559"/>
      <c r="C78" s="1559"/>
      <c r="D78" s="287"/>
      <c r="P78" s="1083"/>
      <c r="Q78" s="1559"/>
      <c r="R78" s="1559"/>
      <c r="S78" s="1083"/>
      <c r="T78" s="1083"/>
      <c r="U78" s="1083"/>
      <c r="V78" s="1083"/>
      <c r="W78" s="1559"/>
      <c r="X78" s="1083"/>
      <c r="Y78" s="1083"/>
      <c r="Z78" s="480"/>
      <c r="AA78" s="1083"/>
      <c r="AB78" s="1083"/>
      <c r="AC78" s="1083"/>
      <c r="AD78" s="1083"/>
      <c r="AE78" s="1083"/>
      <c r="AF78" s="1555"/>
      <c r="AG78" s="502"/>
      <c r="AH78" s="502"/>
      <c r="AI78" s="502"/>
      <c r="AJ78" s="502"/>
      <c r="AK78" s="1564">
        <v>11</v>
      </c>
    </row>
    <row r="79" spans="1:37" s="1564" customFormat="1" ht="11.45" customHeight="1">
      <c r="A79" s="914"/>
      <c r="B79" s="1559"/>
      <c r="C79" s="1559"/>
      <c r="D79" s="287"/>
      <c r="P79" s="1083"/>
      <c r="Q79" s="1559"/>
      <c r="R79" s="1559"/>
      <c r="S79" s="1083"/>
      <c r="T79" s="1083"/>
      <c r="U79" s="1083"/>
      <c r="V79" s="1083"/>
      <c r="W79" s="1559"/>
      <c r="X79" s="1083"/>
      <c r="Y79" s="1083"/>
      <c r="Z79" s="480"/>
      <c r="AA79" s="1083"/>
      <c r="AB79" s="1083"/>
      <c r="AC79" s="1083"/>
      <c r="AD79" s="1083"/>
      <c r="AE79" s="1083"/>
      <c r="AF79" s="1555"/>
      <c r="AG79" s="502"/>
      <c r="AH79" s="502"/>
      <c r="AI79" s="502"/>
      <c r="AJ79" s="502"/>
      <c r="AK79" s="1564">
        <v>11</v>
      </c>
    </row>
    <row r="80" spans="1:37" s="1564" customFormat="1" ht="11.45" customHeight="1">
      <c r="A80" s="914"/>
      <c r="B80" s="1559"/>
      <c r="C80" s="1559"/>
      <c r="D80" s="287"/>
      <c r="P80" s="1083"/>
      <c r="Q80" s="1559"/>
      <c r="R80" s="1559"/>
      <c r="S80" s="1083"/>
      <c r="T80" s="1083"/>
      <c r="U80" s="1083"/>
      <c r="V80" s="1083"/>
      <c r="W80" s="1559"/>
      <c r="X80" s="1083"/>
      <c r="Y80" s="1083"/>
      <c r="Z80" s="480"/>
      <c r="AA80" s="1083"/>
      <c r="AB80" s="1083"/>
      <c r="AC80" s="1083"/>
      <c r="AD80" s="1083"/>
      <c r="AE80" s="1083"/>
      <c r="AF80" s="1555"/>
      <c r="AG80" s="502"/>
      <c r="AH80" s="502"/>
      <c r="AI80" s="502"/>
      <c r="AJ80" s="502"/>
      <c r="AK80" s="1564">
        <v>11</v>
      </c>
    </row>
    <row r="81" spans="1:37" s="1564" customFormat="1" ht="11.45" customHeight="1">
      <c r="A81" s="914"/>
      <c r="B81" s="1559"/>
      <c r="C81" s="1559"/>
      <c r="D81" s="287"/>
      <c r="P81" s="1083"/>
      <c r="Q81" s="1559"/>
      <c r="R81" s="1559"/>
      <c r="S81" s="1083"/>
      <c r="T81" s="1083"/>
      <c r="U81" s="1083"/>
      <c r="V81" s="1083"/>
      <c r="W81" s="1559"/>
      <c r="X81" s="1083"/>
      <c r="Y81" s="1083"/>
      <c r="Z81" s="480"/>
      <c r="AA81" s="1083"/>
      <c r="AB81" s="1083"/>
      <c r="AC81" s="1083"/>
      <c r="AD81" s="1083"/>
      <c r="AE81" s="1083"/>
      <c r="AF81" s="1555"/>
      <c r="AG81" s="502"/>
      <c r="AH81" s="502"/>
      <c r="AI81" s="502"/>
      <c r="AJ81" s="502"/>
      <c r="AK81" s="1564">
        <v>11</v>
      </c>
    </row>
    <row r="82" spans="1:37" s="1564" customFormat="1" ht="11.45" customHeight="1">
      <c r="A82" s="914"/>
      <c r="B82" s="1559"/>
      <c r="C82" s="1559"/>
      <c r="D82" s="287"/>
      <c r="P82" s="1083"/>
      <c r="Q82" s="1559"/>
      <c r="R82" s="1559"/>
      <c r="S82" s="1083"/>
      <c r="T82" s="1083"/>
      <c r="U82" s="1083"/>
      <c r="V82" s="1083"/>
      <c r="W82" s="1559"/>
      <c r="X82" s="1083"/>
      <c r="Y82" s="1083"/>
      <c r="Z82" s="480"/>
      <c r="AA82" s="1083"/>
      <c r="AB82" s="1083"/>
      <c r="AC82" s="1083"/>
      <c r="AD82" s="1083"/>
      <c r="AE82" s="1083"/>
      <c r="AF82" s="1555"/>
      <c r="AG82" s="502"/>
      <c r="AH82" s="502"/>
      <c r="AI82" s="502"/>
      <c r="AJ82" s="502"/>
      <c r="AK82" s="1564">
        <v>11</v>
      </c>
    </row>
    <row r="83" spans="1:37" s="1564" customFormat="1" ht="11.45" customHeight="1">
      <c r="A83" s="914"/>
      <c r="B83" s="1559"/>
      <c r="C83" s="1559"/>
      <c r="D83" s="287"/>
      <c r="P83" s="1083"/>
      <c r="Q83" s="1559"/>
      <c r="R83" s="1559"/>
      <c r="S83" s="1083"/>
      <c r="T83" s="1083"/>
      <c r="U83" s="1083"/>
      <c r="V83" s="1083"/>
      <c r="W83" s="1559"/>
      <c r="X83" s="1083"/>
      <c r="Y83" s="1083"/>
      <c r="Z83" s="480"/>
      <c r="AA83" s="1083"/>
      <c r="AB83" s="1083"/>
      <c r="AC83" s="1083"/>
      <c r="AD83" s="1083"/>
      <c r="AE83" s="1083"/>
      <c r="AF83" s="1555"/>
      <c r="AG83" s="502"/>
      <c r="AH83" s="502"/>
      <c r="AI83" s="502"/>
      <c r="AJ83" s="502"/>
      <c r="AK83" s="1564">
        <v>11</v>
      </c>
    </row>
    <row r="84" spans="1:37" s="1564" customFormat="1" ht="11.45" customHeight="1">
      <c r="A84" s="914"/>
      <c r="B84" s="1559"/>
      <c r="C84" s="1559"/>
      <c r="D84" s="287"/>
      <c r="P84" s="1083"/>
      <c r="Q84" s="1559"/>
      <c r="R84" s="1559"/>
      <c r="S84" s="1083"/>
      <c r="T84" s="1083"/>
      <c r="U84" s="1083"/>
      <c r="V84" s="1083"/>
      <c r="W84" s="1559"/>
      <c r="X84" s="1083"/>
      <c r="Y84" s="1083"/>
      <c r="Z84" s="480"/>
      <c r="AA84" s="1083"/>
      <c r="AB84" s="1083"/>
      <c r="AC84" s="1083"/>
      <c r="AD84" s="1083"/>
      <c r="AE84" s="1083"/>
      <c r="AF84" s="1555"/>
      <c r="AG84" s="502"/>
      <c r="AH84" s="502"/>
      <c r="AI84" s="502"/>
      <c r="AJ84" s="502"/>
      <c r="AK84" s="1564">
        <v>11</v>
      </c>
    </row>
    <row r="85" spans="1:37" s="1564" customFormat="1" ht="11.45" customHeight="1">
      <c r="A85" s="914"/>
      <c r="B85" s="1559"/>
      <c r="C85" s="1559"/>
      <c r="D85" s="287"/>
      <c r="P85" s="1083"/>
      <c r="Q85" s="1559"/>
      <c r="R85" s="1559"/>
      <c r="S85" s="1083"/>
      <c r="T85" s="1083"/>
      <c r="U85" s="1083"/>
      <c r="V85" s="1083"/>
      <c r="W85" s="1559"/>
      <c r="X85" s="1083"/>
      <c r="Y85" s="1083"/>
      <c r="Z85" s="480"/>
      <c r="AA85" s="1083"/>
      <c r="AB85" s="1083"/>
      <c r="AC85" s="1083"/>
      <c r="AD85" s="1083"/>
      <c r="AE85" s="1083"/>
      <c r="AF85" s="1555"/>
      <c r="AG85" s="502"/>
      <c r="AH85" s="502"/>
      <c r="AI85" s="502"/>
      <c r="AJ85" s="502"/>
      <c r="AK85" s="1564">
        <v>11</v>
      </c>
    </row>
    <row r="86" spans="1:37" s="1564" customFormat="1" ht="11.45" customHeight="1">
      <c r="A86" s="914"/>
      <c r="B86" s="1559"/>
      <c r="C86" s="1559"/>
      <c r="D86" s="287"/>
      <c r="P86" s="1083"/>
      <c r="Q86" s="1559"/>
      <c r="R86" s="1559"/>
      <c r="S86" s="1083"/>
      <c r="T86" s="1083"/>
      <c r="U86" s="1083"/>
      <c r="V86" s="1083"/>
      <c r="W86" s="1559"/>
      <c r="X86" s="1083"/>
      <c r="Y86" s="1083"/>
      <c r="Z86" s="480"/>
      <c r="AA86" s="1083"/>
      <c r="AB86" s="1083"/>
      <c r="AC86" s="1083"/>
      <c r="AD86" s="1083"/>
      <c r="AE86" s="1083"/>
      <c r="AF86" s="1555"/>
      <c r="AG86" s="502"/>
      <c r="AH86" s="502"/>
      <c r="AI86" s="502"/>
      <c r="AJ86" s="502"/>
      <c r="AK86" s="1564">
        <v>11</v>
      </c>
    </row>
    <row r="87" spans="1:37" s="1564" customFormat="1" ht="11.45" customHeight="1">
      <c r="A87" s="914"/>
      <c r="B87" s="1559"/>
      <c r="C87" s="1559"/>
      <c r="D87" s="287"/>
      <c r="P87" s="1083"/>
      <c r="Q87" s="1559"/>
      <c r="R87" s="1559"/>
      <c r="S87" s="1083"/>
      <c r="T87" s="1083"/>
      <c r="U87" s="1083"/>
      <c r="V87" s="1083"/>
      <c r="W87" s="1559"/>
      <c r="X87" s="1083"/>
      <c r="Y87" s="1083"/>
      <c r="Z87" s="480"/>
      <c r="AA87" s="1083"/>
      <c r="AB87" s="1083"/>
      <c r="AC87" s="1083"/>
      <c r="AD87" s="1083"/>
      <c r="AE87" s="1083"/>
      <c r="AF87" s="1555"/>
      <c r="AG87" s="502"/>
      <c r="AH87" s="502"/>
      <c r="AI87" s="502"/>
      <c r="AJ87" s="502"/>
      <c r="AK87" s="1564">
        <v>11</v>
      </c>
    </row>
    <row r="88" spans="1:37" s="1564" customFormat="1" ht="11.45" customHeight="1">
      <c r="A88" s="914"/>
      <c r="B88" s="1559"/>
      <c r="C88" s="1559"/>
      <c r="D88" s="287"/>
      <c r="P88" s="1083"/>
      <c r="Q88" s="1559"/>
      <c r="R88" s="1559"/>
      <c r="S88" s="1083"/>
      <c r="T88" s="1083"/>
      <c r="U88" s="1083"/>
      <c r="V88" s="1083"/>
      <c r="W88" s="1559"/>
      <c r="X88" s="1083"/>
      <c r="Y88" s="1083"/>
      <c r="Z88" s="480"/>
      <c r="AA88" s="1083"/>
      <c r="AB88" s="1083"/>
      <c r="AC88" s="1083"/>
      <c r="AD88" s="1083"/>
      <c r="AE88" s="1083"/>
      <c r="AF88" s="1555"/>
      <c r="AG88" s="502"/>
      <c r="AH88" s="502"/>
      <c r="AI88" s="502"/>
      <c r="AJ88" s="502"/>
      <c r="AK88" s="1564">
        <v>11</v>
      </c>
    </row>
    <row r="89" spans="1:37" s="1564" customFormat="1" ht="11.45" customHeight="1">
      <c r="A89" s="914"/>
      <c r="B89" s="1559"/>
      <c r="C89" s="1559"/>
      <c r="D89" s="287"/>
      <c r="P89" s="1083"/>
      <c r="Q89" s="1559"/>
      <c r="R89" s="1559"/>
      <c r="S89" s="1083"/>
      <c r="T89" s="1083"/>
      <c r="U89" s="1083"/>
      <c r="V89" s="1083"/>
      <c r="W89" s="1559"/>
      <c r="X89" s="1083"/>
      <c r="Y89" s="1083"/>
      <c r="Z89" s="480"/>
      <c r="AA89" s="1083"/>
      <c r="AB89" s="1083"/>
      <c r="AC89" s="1083"/>
      <c r="AD89" s="1083"/>
      <c r="AE89" s="1083"/>
      <c r="AF89" s="1555"/>
      <c r="AG89" s="502"/>
      <c r="AH89" s="502"/>
      <c r="AI89" s="502"/>
      <c r="AJ89" s="502"/>
      <c r="AK89" s="1564">
        <v>11</v>
      </c>
    </row>
    <row r="90" spans="1:37" s="1564" customFormat="1" ht="11.45" customHeight="1">
      <c r="A90" s="914"/>
      <c r="B90" s="1559"/>
      <c r="C90" s="1559"/>
      <c r="D90" s="287"/>
      <c r="P90" s="1083"/>
      <c r="Q90" s="1559"/>
      <c r="R90" s="1559"/>
      <c r="S90" s="1083"/>
      <c r="T90" s="1083"/>
      <c r="U90" s="1083"/>
      <c r="V90" s="1083"/>
      <c r="W90" s="1559"/>
      <c r="X90" s="1083"/>
      <c r="Y90" s="1083"/>
      <c r="Z90" s="480"/>
      <c r="AA90" s="1083"/>
      <c r="AB90" s="1083"/>
      <c r="AC90" s="1083"/>
      <c r="AD90" s="1083"/>
      <c r="AE90" s="1083"/>
      <c r="AF90" s="1555"/>
      <c r="AG90" s="502"/>
      <c r="AH90" s="502"/>
      <c r="AI90" s="502"/>
      <c r="AJ90" s="502"/>
      <c r="AK90" s="1564">
        <v>11</v>
      </c>
    </row>
    <row r="91" spans="1:37" s="1564" customFormat="1" ht="11.45" customHeight="1">
      <c r="A91" s="914"/>
      <c r="B91" s="1559"/>
      <c r="C91" s="1559"/>
      <c r="D91" s="287"/>
      <c r="P91" s="1083"/>
      <c r="Q91" s="1559"/>
      <c r="R91" s="1559"/>
      <c r="S91" s="1083"/>
      <c r="T91" s="1083"/>
      <c r="U91" s="1083"/>
      <c r="V91" s="1083"/>
      <c r="W91" s="1559"/>
      <c r="X91" s="1083"/>
      <c r="Y91" s="1083"/>
      <c r="Z91" s="480"/>
      <c r="AA91" s="1083"/>
      <c r="AB91" s="1083"/>
      <c r="AC91" s="1083"/>
      <c r="AD91" s="1083"/>
      <c r="AE91" s="1083"/>
      <c r="AF91" s="1555"/>
      <c r="AG91" s="502"/>
      <c r="AH91" s="502"/>
      <c r="AI91" s="502"/>
      <c r="AJ91" s="502"/>
      <c r="AK91" s="1564">
        <v>11</v>
      </c>
    </row>
    <row r="92" spans="1:37" s="1564" customFormat="1" ht="11.45" customHeight="1">
      <c r="A92" s="914"/>
      <c r="B92" s="1559"/>
      <c r="C92" s="1559"/>
      <c r="D92" s="287"/>
      <c r="P92" s="1083"/>
      <c r="Q92" s="1559"/>
      <c r="R92" s="1559"/>
      <c r="S92" s="1083"/>
      <c r="T92" s="1083"/>
      <c r="U92" s="1083"/>
      <c r="V92" s="1083"/>
      <c r="W92" s="1559"/>
      <c r="X92" s="1083"/>
      <c r="Y92" s="1083"/>
      <c r="Z92" s="480"/>
      <c r="AA92" s="1083"/>
      <c r="AB92" s="1083"/>
      <c r="AC92" s="1083"/>
      <c r="AD92" s="1083"/>
      <c r="AE92" s="1083"/>
      <c r="AF92" s="1555"/>
      <c r="AG92" s="502"/>
      <c r="AH92" s="502"/>
      <c r="AI92" s="502"/>
      <c r="AJ92" s="502"/>
      <c r="AK92" s="1564">
        <v>11</v>
      </c>
    </row>
    <row r="93" spans="1:37" s="1564" customFormat="1" ht="11.45" customHeight="1">
      <c r="A93" s="914"/>
      <c r="B93" s="1559"/>
      <c r="C93" s="1559"/>
      <c r="D93" s="287"/>
      <c r="P93" s="1083"/>
      <c r="Q93" s="1559"/>
      <c r="R93" s="1559"/>
      <c r="S93" s="1083"/>
      <c r="T93" s="1083"/>
      <c r="U93" s="1083"/>
      <c r="V93" s="1083"/>
      <c r="W93" s="1559"/>
      <c r="X93" s="1083"/>
      <c r="Y93" s="1083"/>
      <c r="Z93" s="480"/>
      <c r="AA93" s="1083"/>
      <c r="AB93" s="1083"/>
      <c r="AC93" s="1083"/>
      <c r="AD93" s="1083"/>
      <c r="AE93" s="1083"/>
      <c r="AF93" s="1555"/>
      <c r="AG93" s="502"/>
      <c r="AH93" s="502"/>
      <c r="AI93" s="502"/>
      <c r="AJ93" s="502"/>
      <c r="AK93" s="1564">
        <v>11</v>
      </c>
    </row>
    <row r="94" spans="1:37" s="1564" customFormat="1" ht="11.45" customHeight="1">
      <c r="A94" s="914"/>
      <c r="B94" s="1559"/>
      <c r="C94" s="1559"/>
      <c r="D94" s="287"/>
      <c r="P94" s="1083"/>
      <c r="Q94" s="1559"/>
      <c r="R94" s="1559"/>
      <c r="S94" s="1083"/>
      <c r="T94" s="1083"/>
      <c r="U94" s="1083"/>
      <c r="V94" s="1083"/>
      <c r="W94" s="1559"/>
      <c r="X94" s="1083"/>
      <c r="Y94" s="1083"/>
      <c r="Z94" s="480"/>
      <c r="AA94" s="1083"/>
      <c r="AB94" s="1083"/>
      <c r="AC94" s="1083"/>
      <c r="AD94" s="1083"/>
      <c r="AE94" s="1083"/>
      <c r="AF94" s="1555"/>
      <c r="AG94" s="502"/>
      <c r="AH94" s="502"/>
      <c r="AI94" s="502"/>
      <c r="AJ94" s="502"/>
      <c r="AK94" s="1564">
        <v>11</v>
      </c>
    </row>
    <row r="95" spans="1:37" s="1564" customFormat="1" ht="11.45" customHeight="1">
      <c r="A95" s="914"/>
      <c r="B95" s="1559"/>
      <c r="C95" s="1559"/>
      <c r="D95" s="287"/>
      <c r="P95" s="1083"/>
      <c r="Q95" s="1559"/>
      <c r="R95" s="1559"/>
      <c r="S95" s="1083"/>
      <c r="T95" s="1083"/>
      <c r="U95" s="1083"/>
      <c r="V95" s="1083"/>
      <c r="W95" s="1559"/>
      <c r="X95" s="1083"/>
      <c r="Y95" s="1083"/>
      <c r="Z95" s="480"/>
      <c r="AA95" s="1083"/>
      <c r="AB95" s="1083"/>
      <c r="AC95" s="1083"/>
      <c r="AD95" s="1083"/>
      <c r="AE95" s="1083"/>
      <c r="AF95" s="1555"/>
      <c r="AG95" s="502"/>
      <c r="AH95" s="502"/>
      <c r="AI95" s="502"/>
      <c r="AJ95" s="502"/>
      <c r="AK95" s="1564">
        <v>11</v>
      </c>
    </row>
    <row r="96" spans="1:37" s="1564" customFormat="1" ht="11.45" customHeight="1">
      <c r="A96" s="914"/>
      <c r="B96" s="1559"/>
      <c r="C96" s="1559"/>
      <c r="D96" s="287"/>
      <c r="P96" s="1083"/>
      <c r="Q96" s="1559"/>
      <c r="R96" s="1559"/>
      <c r="S96" s="1083"/>
      <c r="T96" s="1083"/>
      <c r="U96" s="1083"/>
      <c r="V96" s="1083"/>
      <c r="W96" s="1559"/>
      <c r="X96" s="1083"/>
      <c r="Y96" s="1083"/>
      <c r="Z96" s="480"/>
      <c r="AA96" s="1083"/>
      <c r="AB96" s="1083"/>
      <c r="AC96" s="1083"/>
      <c r="AD96" s="1083"/>
      <c r="AE96" s="1083"/>
      <c r="AF96" s="1555"/>
      <c r="AG96" s="502"/>
      <c r="AH96" s="502"/>
      <c r="AI96" s="502"/>
      <c r="AJ96" s="502"/>
      <c r="AK96" s="1564">
        <v>11</v>
      </c>
    </row>
    <row r="97" spans="1:37" s="1564" customFormat="1" ht="11.45" customHeight="1">
      <c r="A97" s="914"/>
      <c r="B97" s="1559"/>
      <c r="C97" s="1559"/>
      <c r="D97" s="287"/>
      <c r="P97" s="1083"/>
      <c r="Q97" s="1559"/>
      <c r="R97" s="1559"/>
      <c r="S97" s="1083"/>
      <c r="T97" s="1083"/>
      <c r="U97" s="1083"/>
      <c r="V97" s="1083"/>
      <c r="W97" s="1559"/>
      <c r="X97" s="1083"/>
      <c r="Y97" s="1083"/>
      <c r="Z97" s="480"/>
      <c r="AA97" s="1083"/>
      <c r="AB97" s="1083"/>
      <c r="AC97" s="1083"/>
      <c r="AD97" s="1083"/>
      <c r="AE97" s="1083"/>
      <c r="AF97" s="1555"/>
      <c r="AG97" s="502"/>
      <c r="AH97" s="502"/>
      <c r="AI97" s="502"/>
      <c r="AJ97" s="502"/>
      <c r="AK97" s="1564">
        <v>11</v>
      </c>
    </row>
    <row r="98" spans="1:37" s="1564" customFormat="1" ht="11.45" customHeight="1">
      <c r="A98" s="914"/>
      <c r="B98" s="1559"/>
      <c r="C98" s="1559"/>
      <c r="D98" s="287"/>
      <c r="P98" s="1083"/>
      <c r="Q98" s="1559"/>
      <c r="R98" s="1559"/>
      <c r="S98" s="1083"/>
      <c r="T98" s="1083"/>
      <c r="U98" s="1083"/>
      <c r="V98" s="1083"/>
      <c r="W98" s="1559"/>
      <c r="X98" s="1083"/>
      <c r="Y98" s="1083"/>
      <c r="Z98" s="480"/>
      <c r="AA98" s="1083"/>
      <c r="AB98" s="1083"/>
      <c r="AC98" s="1083"/>
      <c r="AD98" s="1083"/>
      <c r="AE98" s="1083"/>
      <c r="AF98" s="1555"/>
      <c r="AG98" s="502"/>
      <c r="AH98" s="502"/>
      <c r="AI98" s="502"/>
      <c r="AJ98" s="502"/>
      <c r="AK98" s="1564">
        <v>11</v>
      </c>
    </row>
    <row r="99" spans="1:37" s="1564" customFormat="1" ht="11.45" customHeight="1">
      <c r="A99" s="914"/>
      <c r="B99" s="1559"/>
      <c r="C99" s="1559"/>
      <c r="D99" s="287"/>
      <c r="P99" s="1083"/>
      <c r="Q99" s="1559"/>
      <c r="R99" s="1559"/>
      <c r="S99" s="1083"/>
      <c r="T99" s="1083"/>
      <c r="U99" s="1083"/>
      <c r="V99" s="1083"/>
      <c r="W99" s="1559"/>
      <c r="X99" s="1083"/>
      <c r="Y99" s="1083"/>
      <c r="Z99" s="480"/>
      <c r="AA99" s="1083"/>
      <c r="AB99" s="1083"/>
      <c r="AC99" s="1083"/>
      <c r="AD99" s="1083"/>
      <c r="AE99" s="1083"/>
      <c r="AF99" s="1555"/>
      <c r="AG99" s="502"/>
      <c r="AH99" s="502"/>
      <c r="AI99" s="502"/>
      <c r="AJ99" s="502"/>
      <c r="AK99" s="1564">
        <v>11</v>
      </c>
    </row>
    <row r="100" spans="1:37" s="1564" customFormat="1" ht="11.45" customHeight="1">
      <c r="A100" s="914"/>
      <c r="B100" s="1559"/>
      <c r="C100" s="1559"/>
      <c r="D100" s="287"/>
      <c r="P100" s="1083"/>
      <c r="Q100" s="1559"/>
      <c r="R100" s="1559"/>
      <c r="S100" s="1083"/>
      <c r="T100" s="1083"/>
      <c r="U100" s="1083"/>
      <c r="V100" s="1083"/>
      <c r="W100" s="1559"/>
      <c r="X100" s="1083"/>
      <c r="Y100" s="1083"/>
      <c r="Z100" s="480"/>
      <c r="AA100" s="1083"/>
      <c r="AB100" s="1083"/>
      <c r="AC100" s="1083"/>
      <c r="AD100" s="1083"/>
      <c r="AE100" s="1083"/>
      <c r="AF100" s="1555"/>
      <c r="AG100" s="502"/>
      <c r="AH100" s="502"/>
      <c r="AI100" s="502"/>
      <c r="AJ100" s="502"/>
      <c r="AK100" s="1564">
        <v>11</v>
      </c>
    </row>
    <row r="101" spans="1:37" s="1564" customFormat="1" ht="11.45" customHeight="1">
      <c r="A101" s="914"/>
      <c r="B101" s="1559"/>
      <c r="C101" s="1559"/>
      <c r="D101" s="287"/>
      <c r="P101" s="1083"/>
      <c r="Q101" s="1559"/>
      <c r="R101" s="1559"/>
      <c r="S101" s="1083"/>
      <c r="T101" s="1083"/>
      <c r="U101" s="1083"/>
      <c r="V101" s="1083"/>
      <c r="W101" s="1559"/>
      <c r="X101" s="1083"/>
      <c r="Y101" s="1083"/>
      <c r="Z101" s="480"/>
      <c r="AA101" s="1083"/>
      <c r="AB101" s="1083"/>
      <c r="AC101" s="1083"/>
      <c r="AD101" s="1083"/>
      <c r="AE101" s="1083"/>
      <c r="AF101" s="1555"/>
      <c r="AG101" s="502"/>
      <c r="AH101" s="502"/>
      <c r="AI101" s="502"/>
      <c r="AJ101" s="502"/>
      <c r="AK101" s="1564">
        <v>11</v>
      </c>
    </row>
    <row r="102" spans="1:37" s="1564" customFormat="1" ht="11.45" customHeight="1">
      <c r="A102" s="914"/>
      <c r="B102" s="1559"/>
      <c r="C102" s="1559"/>
      <c r="D102" s="287"/>
      <c r="P102" s="1083"/>
      <c r="Q102" s="1559"/>
      <c r="R102" s="1559"/>
      <c r="S102" s="1083"/>
      <c r="T102" s="1083"/>
      <c r="U102" s="1083"/>
      <c r="V102" s="1083"/>
      <c r="W102" s="1559"/>
      <c r="X102" s="1083"/>
      <c r="Y102" s="1083"/>
      <c r="Z102" s="480"/>
      <c r="AA102" s="1083"/>
      <c r="AB102" s="1083"/>
      <c r="AC102" s="1083"/>
      <c r="AD102" s="1083"/>
      <c r="AE102" s="1083"/>
      <c r="AF102" s="1555"/>
      <c r="AG102" s="502"/>
      <c r="AH102" s="502"/>
      <c r="AI102" s="502"/>
      <c r="AJ102" s="502"/>
      <c r="AK102" s="1564">
        <v>11</v>
      </c>
    </row>
    <row r="103" spans="1:37" s="1564" customFormat="1" ht="11.45" customHeight="1">
      <c r="A103" s="914"/>
      <c r="B103" s="1559"/>
      <c r="C103" s="1559"/>
      <c r="D103" s="287"/>
      <c r="P103" s="1083"/>
      <c r="Q103" s="1559"/>
      <c r="R103" s="1559"/>
      <c r="S103" s="1083"/>
      <c r="T103" s="1083"/>
      <c r="U103" s="1083"/>
      <c r="V103" s="1083"/>
      <c r="W103" s="1559"/>
      <c r="X103" s="1083"/>
      <c r="Y103" s="1083"/>
      <c r="Z103" s="480"/>
      <c r="AA103" s="1083"/>
      <c r="AB103" s="1083"/>
      <c r="AC103" s="1083"/>
      <c r="AD103" s="1083"/>
      <c r="AE103" s="1083"/>
      <c r="AF103" s="1555"/>
      <c r="AG103" s="502"/>
      <c r="AH103" s="502"/>
      <c r="AI103" s="502"/>
      <c r="AJ103" s="502"/>
      <c r="AK103" s="1564">
        <v>11</v>
      </c>
    </row>
    <row r="104" spans="1:37" s="1564" customFormat="1" ht="11.45" customHeight="1">
      <c r="A104" s="914"/>
      <c r="B104" s="1559"/>
      <c r="C104" s="1559"/>
      <c r="D104" s="287"/>
      <c r="P104" s="1083"/>
      <c r="Q104" s="1559"/>
      <c r="R104" s="1559"/>
      <c r="S104" s="1083"/>
      <c r="T104" s="1083"/>
      <c r="U104" s="1083"/>
      <c r="V104" s="1083"/>
      <c r="W104" s="1559"/>
      <c r="X104" s="1083"/>
      <c r="Y104" s="1083"/>
      <c r="Z104" s="480"/>
      <c r="AA104" s="1083"/>
      <c r="AB104" s="1083"/>
      <c r="AC104" s="1083"/>
      <c r="AD104" s="1083"/>
      <c r="AE104" s="1083"/>
      <c r="AF104" s="1555"/>
      <c r="AG104" s="502"/>
      <c r="AH104" s="502"/>
      <c r="AI104" s="502"/>
      <c r="AJ104" s="502"/>
      <c r="AK104" s="1564">
        <v>11</v>
      </c>
    </row>
    <row r="105" spans="1:37" s="1564" customFormat="1" ht="11.45" customHeight="1">
      <c r="A105" s="914"/>
      <c r="B105" s="1559"/>
      <c r="C105" s="1559"/>
      <c r="D105" s="287"/>
      <c r="P105" s="1083"/>
      <c r="Q105" s="1559"/>
      <c r="R105" s="1559"/>
      <c r="S105" s="1083"/>
      <c r="T105" s="1083"/>
      <c r="U105" s="1083"/>
      <c r="V105" s="1083"/>
      <c r="W105" s="1559"/>
      <c r="X105" s="1083"/>
      <c r="Y105" s="1083"/>
      <c r="Z105" s="480"/>
      <c r="AA105" s="1083"/>
      <c r="AB105" s="1083"/>
      <c r="AC105" s="1083"/>
      <c r="AD105" s="1083"/>
      <c r="AE105" s="1083"/>
      <c r="AF105" s="1555"/>
      <c r="AG105" s="502"/>
      <c r="AH105" s="502"/>
      <c r="AI105" s="502"/>
      <c r="AJ105" s="502"/>
      <c r="AK105" s="1564">
        <v>11</v>
      </c>
    </row>
    <row r="106" spans="1:37" s="1564" customFormat="1" ht="11.45" customHeight="1">
      <c r="A106" s="914"/>
      <c r="B106" s="1559"/>
      <c r="C106" s="1559"/>
      <c r="D106" s="287"/>
      <c r="P106" s="1083"/>
      <c r="Q106" s="1559"/>
      <c r="R106" s="1559"/>
      <c r="S106" s="1083"/>
      <c r="T106" s="1083"/>
      <c r="U106" s="1083"/>
      <c r="V106" s="1083"/>
      <c r="W106" s="1559"/>
      <c r="X106" s="1083"/>
      <c r="Y106" s="1083"/>
      <c r="Z106" s="480"/>
      <c r="AA106" s="1083"/>
      <c r="AB106" s="1083"/>
      <c r="AC106" s="1083"/>
      <c r="AD106" s="1083"/>
      <c r="AE106" s="1083"/>
      <c r="AF106" s="1555"/>
      <c r="AG106" s="502"/>
      <c r="AH106" s="502"/>
      <c r="AI106" s="502"/>
      <c r="AJ106" s="502"/>
      <c r="AK106" s="1564">
        <v>11</v>
      </c>
    </row>
    <row r="107" spans="1:37" s="1564" customFormat="1" ht="11.45" customHeight="1">
      <c r="A107" s="914"/>
      <c r="B107" s="1559"/>
      <c r="C107" s="1559"/>
      <c r="D107" s="287"/>
      <c r="P107" s="1083"/>
      <c r="Q107" s="1559"/>
      <c r="R107" s="1559"/>
      <c r="S107" s="1083"/>
      <c r="T107" s="1083"/>
      <c r="U107" s="1083"/>
      <c r="V107" s="1083"/>
      <c r="W107" s="1559"/>
      <c r="X107" s="1083"/>
      <c r="Y107" s="1083"/>
      <c r="Z107" s="480"/>
      <c r="AA107" s="1083"/>
      <c r="AB107" s="1083"/>
      <c r="AC107" s="1083"/>
      <c r="AD107" s="1083"/>
      <c r="AE107" s="1083"/>
      <c r="AF107" s="1555"/>
      <c r="AG107" s="502"/>
      <c r="AH107" s="502"/>
      <c r="AI107" s="502"/>
      <c r="AJ107" s="502"/>
      <c r="AK107" s="1564">
        <v>11</v>
      </c>
    </row>
    <row r="108" spans="1:37" s="1564" customFormat="1" ht="11.45" customHeight="1">
      <c r="A108" s="914"/>
      <c r="B108" s="1559"/>
      <c r="C108" s="1559"/>
      <c r="D108" s="287"/>
      <c r="P108" s="1083"/>
      <c r="Q108" s="1559"/>
      <c r="R108" s="1559"/>
      <c r="S108" s="1083"/>
      <c r="T108" s="1083"/>
      <c r="U108" s="1083"/>
      <c r="V108" s="1083"/>
      <c r="W108" s="1559"/>
      <c r="X108" s="1083"/>
      <c r="Y108" s="1083"/>
      <c r="Z108" s="480"/>
      <c r="AA108" s="1083"/>
      <c r="AB108" s="1083"/>
      <c r="AC108" s="1083"/>
      <c r="AD108" s="1083"/>
      <c r="AE108" s="1083"/>
      <c r="AF108" s="1555"/>
      <c r="AG108" s="502"/>
      <c r="AH108" s="502"/>
      <c r="AI108" s="502"/>
      <c r="AJ108" s="502"/>
      <c r="AK108" s="1564">
        <v>11</v>
      </c>
    </row>
    <row r="109" spans="1:37" s="1564" customFormat="1" ht="11.45" customHeight="1">
      <c r="A109" s="914"/>
      <c r="B109" s="1559"/>
      <c r="C109" s="1559"/>
      <c r="D109" s="287"/>
      <c r="P109" s="1083"/>
      <c r="Q109" s="1559"/>
      <c r="R109" s="1559"/>
      <c r="S109" s="1083"/>
      <c r="T109" s="1083"/>
      <c r="U109" s="1083"/>
      <c r="V109" s="1083"/>
      <c r="W109" s="1559"/>
      <c r="X109" s="1083"/>
      <c r="Y109" s="1083"/>
      <c r="Z109" s="480"/>
      <c r="AA109" s="1083"/>
      <c r="AB109" s="1083"/>
      <c r="AC109" s="1083"/>
      <c r="AD109" s="1083"/>
      <c r="AE109" s="1083"/>
      <c r="AF109" s="1555"/>
      <c r="AG109" s="502"/>
      <c r="AH109" s="502"/>
      <c r="AI109" s="502"/>
      <c r="AJ109" s="502"/>
      <c r="AK109" s="1564">
        <v>11</v>
      </c>
    </row>
    <row r="110" spans="1:37" s="1564" customFormat="1" ht="11.45" customHeight="1">
      <c r="A110" s="914"/>
      <c r="B110" s="1559"/>
      <c r="C110" s="1559"/>
      <c r="D110" s="287"/>
      <c r="P110" s="1083"/>
      <c r="Q110" s="1559"/>
      <c r="R110" s="1559"/>
      <c r="S110" s="1083"/>
      <c r="T110" s="1083"/>
      <c r="U110" s="1083"/>
      <c r="V110" s="1083"/>
      <c r="W110" s="1559"/>
      <c r="X110" s="1083"/>
      <c r="Y110" s="1083"/>
      <c r="Z110" s="480"/>
      <c r="AA110" s="1083"/>
      <c r="AB110" s="1083"/>
      <c r="AC110" s="1083"/>
      <c r="AD110" s="1083"/>
      <c r="AE110" s="1083"/>
      <c r="AF110" s="1555"/>
      <c r="AG110" s="502"/>
      <c r="AH110" s="502"/>
      <c r="AI110" s="502"/>
      <c r="AJ110" s="502"/>
      <c r="AK110" s="1564">
        <v>11</v>
      </c>
    </row>
    <row r="111" spans="1:37" s="1564" customFormat="1" ht="11.45" customHeight="1">
      <c r="A111" s="914"/>
      <c r="B111" s="1559"/>
      <c r="C111" s="1559"/>
      <c r="D111" s="287"/>
      <c r="P111" s="1083"/>
      <c r="Q111" s="1559"/>
      <c r="R111" s="1559"/>
      <c r="S111" s="1083"/>
      <c r="T111" s="1083"/>
      <c r="U111" s="1083"/>
      <c r="V111" s="1083"/>
      <c r="W111" s="1559"/>
      <c r="X111" s="1083"/>
      <c r="Y111" s="1083"/>
      <c r="Z111" s="480"/>
      <c r="AA111" s="1083"/>
      <c r="AB111" s="1083"/>
      <c r="AC111" s="1083"/>
      <c r="AD111" s="1083"/>
      <c r="AE111" s="1083"/>
      <c r="AF111" s="1555"/>
      <c r="AG111" s="502"/>
      <c r="AH111" s="502"/>
      <c r="AI111" s="502"/>
      <c r="AJ111" s="502"/>
      <c r="AK111" s="1564">
        <v>11</v>
      </c>
    </row>
    <row r="112" spans="1:37" s="1564" customFormat="1" ht="11.45" customHeight="1">
      <c r="A112" s="914"/>
      <c r="B112" s="1559"/>
      <c r="C112" s="1559"/>
      <c r="D112" s="287"/>
      <c r="P112" s="1083"/>
      <c r="Q112" s="1559"/>
      <c r="R112" s="1559"/>
      <c r="S112" s="1083"/>
      <c r="T112" s="1083"/>
      <c r="U112" s="1083"/>
      <c r="V112" s="1083"/>
      <c r="W112" s="1559"/>
      <c r="X112" s="1083"/>
      <c r="Y112" s="1083"/>
      <c r="Z112" s="480"/>
      <c r="AA112" s="1083"/>
      <c r="AB112" s="1083"/>
      <c r="AC112" s="1083"/>
      <c r="AD112" s="1083"/>
      <c r="AE112" s="1083"/>
      <c r="AF112" s="1555"/>
      <c r="AG112" s="502"/>
      <c r="AH112" s="502"/>
      <c r="AI112" s="502"/>
      <c r="AJ112" s="502"/>
      <c r="AK112" s="1564">
        <v>11</v>
      </c>
    </row>
    <row r="113" spans="1:37" s="1564" customFormat="1" ht="11.45" customHeight="1">
      <c r="A113" s="914"/>
      <c r="B113" s="1559"/>
      <c r="C113" s="1559"/>
      <c r="D113" s="287"/>
      <c r="P113" s="1083"/>
      <c r="Q113" s="1559"/>
      <c r="R113" s="1559"/>
      <c r="S113" s="1083"/>
      <c r="T113" s="1083"/>
      <c r="U113" s="1083"/>
      <c r="V113" s="1083"/>
      <c r="W113" s="1559"/>
      <c r="X113" s="1083"/>
      <c r="Y113" s="1083"/>
      <c r="Z113" s="480"/>
      <c r="AA113" s="1083"/>
      <c r="AB113" s="1083"/>
      <c r="AC113" s="1083"/>
      <c r="AD113" s="1083"/>
      <c r="AE113" s="1083"/>
      <c r="AF113" s="1555"/>
      <c r="AG113" s="502"/>
      <c r="AH113" s="502"/>
      <c r="AI113" s="502"/>
      <c r="AJ113" s="502"/>
      <c r="AK113" s="1564">
        <v>11</v>
      </c>
    </row>
    <row r="114" spans="1:37" s="1564" customFormat="1" ht="11.45" customHeight="1">
      <c r="A114" s="914"/>
      <c r="B114" s="1559"/>
      <c r="C114" s="1559"/>
      <c r="D114" s="287"/>
      <c r="P114" s="1083"/>
      <c r="Q114" s="1559"/>
      <c r="R114" s="1559"/>
      <c r="S114" s="1083"/>
      <c r="T114" s="1083"/>
      <c r="U114" s="1083"/>
      <c r="V114" s="1083"/>
      <c r="W114" s="1559"/>
      <c r="X114" s="1083"/>
      <c r="Y114" s="1083"/>
      <c r="Z114" s="480"/>
      <c r="AA114" s="1083"/>
      <c r="AB114" s="1083"/>
      <c r="AC114" s="1083"/>
      <c r="AD114" s="1083"/>
      <c r="AE114" s="1083"/>
      <c r="AF114" s="1555"/>
      <c r="AG114" s="502"/>
      <c r="AH114" s="502"/>
      <c r="AI114" s="502"/>
      <c r="AJ114" s="502"/>
      <c r="AK114" s="1564">
        <v>11</v>
      </c>
    </row>
    <row r="115" spans="1:37" s="1564" customFormat="1" ht="11.45" customHeight="1">
      <c r="A115" s="914"/>
      <c r="B115" s="1559"/>
      <c r="C115" s="1559"/>
      <c r="D115" s="287"/>
      <c r="P115" s="1083"/>
      <c r="Q115" s="1559"/>
      <c r="R115" s="1559"/>
      <c r="S115" s="1083"/>
      <c r="T115" s="1083"/>
      <c r="U115" s="1083"/>
      <c r="V115" s="1083"/>
      <c r="W115" s="1559"/>
      <c r="X115" s="1083"/>
      <c r="Y115" s="1083"/>
      <c r="Z115" s="480"/>
      <c r="AA115" s="1083"/>
      <c r="AB115" s="1083"/>
      <c r="AC115" s="1083"/>
      <c r="AD115" s="1083"/>
      <c r="AE115" s="1083"/>
      <c r="AF115" s="1555"/>
      <c r="AG115" s="502"/>
      <c r="AH115" s="502"/>
      <c r="AI115" s="502"/>
      <c r="AJ115" s="502"/>
      <c r="AK115" s="1564">
        <v>11</v>
      </c>
    </row>
    <row r="116" spans="1:37" s="1564" customFormat="1" ht="11.45" customHeight="1">
      <c r="A116" s="914"/>
      <c r="B116" s="1559"/>
      <c r="C116" s="1559"/>
      <c r="D116" s="287"/>
      <c r="P116" s="1083"/>
      <c r="Q116" s="1559"/>
      <c r="R116" s="1559"/>
      <c r="S116" s="1083"/>
      <c r="T116" s="1083"/>
      <c r="U116" s="1083"/>
      <c r="V116" s="1083"/>
      <c r="W116" s="1559"/>
      <c r="X116" s="1083"/>
      <c r="Y116" s="1083"/>
      <c r="Z116" s="480"/>
      <c r="AA116" s="1083"/>
      <c r="AB116" s="1083"/>
      <c r="AC116" s="1083"/>
      <c r="AD116" s="1083"/>
      <c r="AE116" s="1083"/>
      <c r="AF116" s="1555"/>
      <c r="AG116" s="502"/>
      <c r="AH116" s="502"/>
      <c r="AI116" s="502"/>
      <c r="AJ116" s="502"/>
      <c r="AK116" s="1564">
        <v>11</v>
      </c>
    </row>
    <row r="117" spans="1:37" s="1564" customFormat="1" ht="11.45" customHeight="1">
      <c r="A117" s="914"/>
      <c r="B117" s="1559"/>
      <c r="C117" s="1559"/>
      <c r="D117" s="287"/>
      <c r="P117" s="1083"/>
      <c r="Q117" s="1559"/>
      <c r="R117" s="1559"/>
      <c r="S117" s="1083"/>
      <c r="T117" s="1083"/>
      <c r="U117" s="1083"/>
      <c r="V117" s="1083"/>
      <c r="W117" s="1559"/>
      <c r="X117" s="1083"/>
      <c r="Y117" s="1083"/>
      <c r="Z117" s="480"/>
      <c r="AA117" s="1083"/>
      <c r="AB117" s="1083"/>
      <c r="AC117" s="1083"/>
      <c r="AD117" s="1083"/>
      <c r="AE117" s="1083"/>
      <c r="AF117" s="1555"/>
      <c r="AG117" s="502"/>
      <c r="AH117" s="502"/>
      <c r="AI117" s="502"/>
      <c r="AJ117" s="502"/>
      <c r="AK117" s="1564">
        <v>11</v>
      </c>
    </row>
    <row r="118" spans="1:37" s="1564" customFormat="1" ht="11.45" customHeight="1">
      <c r="A118" s="914"/>
      <c r="B118" s="1559"/>
      <c r="C118" s="1559"/>
      <c r="D118" s="287"/>
      <c r="P118" s="1083"/>
      <c r="Q118" s="1559"/>
      <c r="R118" s="1559"/>
      <c r="S118" s="1083"/>
      <c r="T118" s="1083"/>
      <c r="U118" s="1083"/>
      <c r="V118" s="1083"/>
      <c r="W118" s="1559"/>
      <c r="X118" s="1083"/>
      <c r="Y118" s="1083"/>
      <c r="Z118" s="480"/>
      <c r="AA118" s="1083"/>
      <c r="AB118" s="1083"/>
      <c r="AC118" s="1083"/>
      <c r="AD118" s="1083"/>
      <c r="AE118" s="1083"/>
      <c r="AF118" s="1555"/>
      <c r="AG118" s="502"/>
      <c r="AH118" s="502"/>
      <c r="AI118" s="502"/>
      <c r="AJ118" s="502"/>
      <c r="AK118" s="1564">
        <v>11</v>
      </c>
    </row>
    <row r="119" spans="1:37" s="1564" customFormat="1" ht="11.45" customHeight="1">
      <c r="A119" s="914"/>
      <c r="B119" s="1559"/>
      <c r="C119" s="1559"/>
      <c r="D119" s="287"/>
      <c r="P119" s="1083"/>
      <c r="Q119" s="1559"/>
      <c r="R119" s="1559"/>
      <c r="S119" s="1083"/>
      <c r="T119" s="1083"/>
      <c r="U119" s="1083"/>
      <c r="V119" s="1083"/>
      <c r="W119" s="1559"/>
      <c r="X119" s="1083"/>
      <c r="Y119" s="1083"/>
      <c r="Z119" s="480"/>
      <c r="AA119" s="1083"/>
      <c r="AB119" s="1083"/>
      <c r="AC119" s="1083"/>
      <c r="AD119" s="1083"/>
      <c r="AE119" s="1083"/>
      <c r="AF119" s="1555"/>
      <c r="AG119" s="502"/>
      <c r="AH119" s="502"/>
      <c r="AI119" s="502"/>
      <c r="AJ119" s="502"/>
      <c r="AK119" s="1564">
        <v>11</v>
      </c>
    </row>
    <row r="120" spans="1:37" s="1564" customFormat="1" ht="11.45" customHeight="1">
      <c r="A120" s="914"/>
      <c r="B120" s="1559"/>
      <c r="C120" s="1559"/>
      <c r="D120" s="287"/>
      <c r="P120" s="1083"/>
      <c r="Q120" s="1559"/>
      <c r="R120" s="1559"/>
      <c r="S120" s="1083"/>
      <c r="T120" s="1083"/>
      <c r="U120" s="1083"/>
      <c r="V120" s="1083"/>
      <c r="W120" s="1559"/>
      <c r="X120" s="1083"/>
      <c r="Y120" s="1083"/>
      <c r="Z120" s="480"/>
      <c r="AA120" s="1083"/>
      <c r="AB120" s="1083"/>
      <c r="AC120" s="1083"/>
      <c r="AD120" s="1083"/>
      <c r="AE120" s="1083"/>
      <c r="AF120" s="1555"/>
      <c r="AG120" s="502"/>
      <c r="AH120" s="502"/>
      <c r="AI120" s="502"/>
      <c r="AJ120" s="502"/>
      <c r="AK120" s="1564">
        <v>11</v>
      </c>
    </row>
    <row r="121" spans="1:37" s="1564" customFormat="1" ht="11.45" customHeight="1">
      <c r="A121" s="914"/>
      <c r="B121" s="1559"/>
      <c r="C121" s="1559"/>
      <c r="D121" s="287"/>
      <c r="P121" s="1083"/>
      <c r="Q121" s="1559"/>
      <c r="R121" s="1559"/>
      <c r="S121" s="1083"/>
      <c r="T121" s="1083"/>
      <c r="U121" s="1083"/>
      <c r="V121" s="1083"/>
      <c r="W121" s="1559"/>
      <c r="X121" s="1083"/>
      <c r="Y121" s="1083"/>
      <c r="Z121" s="480"/>
      <c r="AA121" s="1083"/>
      <c r="AB121" s="1083"/>
      <c r="AC121" s="1083"/>
      <c r="AD121" s="1083"/>
      <c r="AE121" s="1083"/>
      <c r="AF121" s="1555"/>
      <c r="AG121" s="502"/>
      <c r="AH121" s="502"/>
      <c r="AI121" s="502"/>
      <c r="AJ121" s="502"/>
      <c r="AK121" s="1564">
        <v>11</v>
      </c>
    </row>
    <row r="122" spans="1:37" s="1564" customFormat="1" ht="11.45" customHeight="1">
      <c r="A122" s="914"/>
      <c r="B122" s="1559"/>
      <c r="C122" s="1559"/>
      <c r="D122" s="287"/>
      <c r="P122" s="1083"/>
      <c r="Q122" s="1559"/>
      <c r="R122" s="1559"/>
      <c r="S122" s="1083"/>
      <c r="T122" s="1083"/>
      <c r="U122" s="1083"/>
      <c r="V122" s="1083"/>
      <c r="W122" s="1559"/>
      <c r="X122" s="1083"/>
      <c r="Y122" s="1083"/>
      <c r="Z122" s="480"/>
      <c r="AA122" s="1083"/>
      <c r="AB122" s="1083"/>
      <c r="AC122" s="1083"/>
      <c r="AD122" s="1083"/>
      <c r="AE122" s="1083"/>
      <c r="AF122" s="1555"/>
      <c r="AG122" s="502"/>
      <c r="AH122" s="502"/>
      <c r="AI122" s="502"/>
      <c r="AJ122" s="502"/>
      <c r="AK122" s="1564">
        <v>11</v>
      </c>
    </row>
    <row r="123" spans="1:37" s="1564" customFormat="1" ht="11.45" customHeight="1">
      <c r="A123" s="914"/>
      <c r="B123" s="1559"/>
      <c r="C123" s="1559"/>
      <c r="D123" s="287"/>
      <c r="P123" s="1083"/>
      <c r="Q123" s="1559"/>
      <c r="R123" s="1559"/>
      <c r="S123" s="1083"/>
      <c r="T123" s="1083"/>
      <c r="U123" s="1083"/>
      <c r="V123" s="1083"/>
      <c r="W123" s="1559"/>
      <c r="X123" s="1083"/>
      <c r="Y123" s="1083"/>
      <c r="Z123" s="480"/>
      <c r="AA123" s="1083"/>
      <c r="AB123" s="1083"/>
      <c r="AC123" s="1083"/>
      <c r="AD123" s="1083"/>
      <c r="AE123" s="1083"/>
      <c r="AF123" s="1555"/>
      <c r="AG123" s="502"/>
      <c r="AH123" s="502"/>
      <c r="AI123" s="502"/>
      <c r="AJ123" s="502"/>
      <c r="AK123" s="1564">
        <v>11</v>
      </c>
    </row>
    <row r="124" spans="1:37" s="1564" customFormat="1" ht="11.45" customHeight="1">
      <c r="A124" s="914"/>
      <c r="B124" s="1559"/>
      <c r="C124" s="1559"/>
      <c r="D124" s="287"/>
      <c r="P124" s="1083"/>
      <c r="Q124" s="1559"/>
      <c r="R124" s="1559"/>
      <c r="S124" s="1083"/>
      <c r="T124" s="1083"/>
      <c r="U124" s="1083"/>
      <c r="V124" s="1083"/>
      <c r="W124" s="1559"/>
      <c r="X124" s="1083"/>
      <c r="Y124" s="1083"/>
      <c r="Z124" s="480"/>
      <c r="AA124" s="1083"/>
      <c r="AB124" s="1083"/>
      <c r="AC124" s="1083"/>
      <c r="AD124" s="1083"/>
      <c r="AE124" s="1083"/>
      <c r="AF124" s="1555"/>
      <c r="AG124" s="502"/>
      <c r="AH124" s="502"/>
      <c r="AI124" s="502"/>
      <c r="AJ124" s="502"/>
      <c r="AK124" s="1564">
        <v>11</v>
      </c>
    </row>
    <row r="125" spans="1:37" s="1564" customFormat="1" ht="11.45" customHeight="1">
      <c r="A125" s="914"/>
      <c r="B125" s="1559"/>
      <c r="C125" s="1559"/>
      <c r="D125" s="287"/>
      <c r="P125" s="1083"/>
      <c r="Q125" s="1559"/>
      <c r="R125" s="1559"/>
      <c r="S125" s="1083"/>
      <c r="T125" s="1083"/>
      <c r="U125" s="1083"/>
      <c r="V125" s="1083"/>
      <c r="W125" s="1559"/>
      <c r="X125" s="1083"/>
      <c r="Y125" s="1083"/>
      <c r="Z125" s="480"/>
      <c r="AA125" s="1083"/>
      <c r="AB125" s="1083"/>
      <c r="AC125" s="1083"/>
      <c r="AD125" s="1083"/>
      <c r="AE125" s="1083"/>
      <c r="AF125" s="1555"/>
      <c r="AG125" s="502"/>
      <c r="AH125" s="502"/>
      <c r="AI125" s="502"/>
      <c r="AJ125" s="502"/>
      <c r="AK125" s="1564">
        <v>11</v>
      </c>
    </row>
    <row r="126" spans="1:37" s="1564" customFormat="1" ht="11.45" customHeight="1">
      <c r="A126" s="914"/>
      <c r="B126" s="1559"/>
      <c r="C126" s="1559"/>
      <c r="D126" s="287"/>
      <c r="P126" s="1083"/>
      <c r="Q126" s="1559"/>
      <c r="R126" s="1559"/>
      <c r="S126" s="1083"/>
      <c r="T126" s="1083"/>
      <c r="U126" s="1083"/>
      <c r="V126" s="1083"/>
      <c r="W126" s="1559"/>
      <c r="X126" s="1083"/>
      <c r="Y126" s="1083"/>
      <c r="Z126" s="480"/>
      <c r="AA126" s="1083"/>
      <c r="AB126" s="1083"/>
      <c r="AC126" s="1083"/>
      <c r="AD126" s="1083"/>
      <c r="AE126" s="1083"/>
      <c r="AF126" s="1555"/>
      <c r="AG126" s="502"/>
      <c r="AH126" s="502"/>
      <c r="AI126" s="502"/>
      <c r="AJ126" s="502"/>
      <c r="AK126" s="1564">
        <v>11</v>
      </c>
    </row>
    <row r="127" spans="1:37" s="1564" customFormat="1" ht="11.45" customHeight="1">
      <c r="A127" s="914"/>
      <c r="B127" s="1559"/>
      <c r="C127" s="1559"/>
      <c r="D127" s="287"/>
      <c r="P127" s="1083"/>
      <c r="Q127" s="1559"/>
      <c r="R127" s="1559"/>
      <c r="S127" s="1083"/>
      <c r="T127" s="1083"/>
      <c r="U127" s="1083"/>
      <c r="V127" s="1083"/>
      <c r="W127" s="1559"/>
      <c r="X127" s="1083"/>
      <c r="Y127" s="1083"/>
      <c r="Z127" s="480"/>
      <c r="AA127" s="1083"/>
      <c r="AB127" s="1083"/>
      <c r="AC127" s="1083"/>
      <c r="AD127" s="1083"/>
      <c r="AE127" s="1083"/>
      <c r="AF127" s="1555"/>
      <c r="AG127" s="502"/>
      <c r="AH127" s="502"/>
      <c r="AI127" s="502"/>
      <c r="AJ127" s="502"/>
      <c r="AK127" s="1564">
        <v>11</v>
      </c>
    </row>
    <row r="128" spans="1:37" s="1564" customFormat="1" ht="11.45" customHeight="1">
      <c r="A128" s="914"/>
      <c r="B128" s="1559"/>
      <c r="C128" s="1559"/>
      <c r="D128" s="287"/>
      <c r="P128" s="1083"/>
      <c r="Q128" s="1559"/>
      <c r="R128" s="1559"/>
      <c r="S128" s="1083"/>
      <c r="T128" s="1083"/>
      <c r="U128" s="1083"/>
      <c r="V128" s="1083"/>
      <c r="W128" s="1559"/>
      <c r="X128" s="1083"/>
      <c r="Y128" s="1083"/>
      <c r="Z128" s="480"/>
      <c r="AA128" s="1083"/>
      <c r="AB128" s="1083"/>
      <c r="AC128" s="1083"/>
      <c r="AD128" s="1083"/>
      <c r="AE128" s="1083"/>
      <c r="AF128" s="1555"/>
      <c r="AG128" s="502"/>
      <c r="AH128" s="502"/>
      <c r="AI128" s="502"/>
      <c r="AJ128" s="502"/>
      <c r="AK128" s="1564">
        <v>11</v>
      </c>
    </row>
    <row r="129" spans="1:37" s="1564" customFormat="1" ht="11.45" customHeight="1">
      <c r="A129" s="914"/>
      <c r="B129" s="1559"/>
      <c r="C129" s="1559"/>
      <c r="D129" s="287"/>
      <c r="P129" s="1083"/>
      <c r="Q129" s="1559"/>
      <c r="R129" s="1559"/>
      <c r="S129" s="1083"/>
      <c r="T129" s="1083"/>
      <c r="U129" s="1083"/>
      <c r="V129" s="1083"/>
      <c r="W129" s="1559"/>
      <c r="X129" s="1083"/>
      <c r="Y129" s="1083"/>
      <c r="Z129" s="480"/>
      <c r="AA129" s="1083"/>
      <c r="AB129" s="1083"/>
      <c r="AC129" s="1083"/>
      <c r="AD129" s="1083"/>
      <c r="AE129" s="1083"/>
      <c r="AF129" s="1555"/>
      <c r="AG129" s="502"/>
      <c r="AH129" s="502"/>
      <c r="AI129" s="502"/>
      <c r="AJ129" s="502"/>
      <c r="AK129" s="1564">
        <v>11</v>
      </c>
    </row>
    <row r="130" spans="1:37" s="1564" customFormat="1" ht="11.45" customHeight="1">
      <c r="A130" s="914"/>
      <c r="B130" s="1559"/>
      <c r="C130" s="1559"/>
      <c r="D130" s="287"/>
      <c r="P130" s="1083"/>
      <c r="Q130" s="1559"/>
      <c r="R130" s="1559"/>
      <c r="S130" s="1083"/>
      <c r="T130" s="1083"/>
      <c r="U130" s="1083"/>
      <c r="V130" s="1083"/>
      <c r="W130" s="1559"/>
      <c r="X130" s="1083"/>
      <c r="Y130" s="1083"/>
      <c r="Z130" s="480"/>
      <c r="AA130" s="1083"/>
      <c r="AB130" s="1083"/>
      <c r="AC130" s="1083"/>
      <c r="AD130" s="1083"/>
      <c r="AE130" s="1083"/>
      <c r="AF130" s="1555"/>
      <c r="AG130" s="502"/>
      <c r="AH130" s="502"/>
      <c r="AI130" s="502"/>
      <c r="AJ130" s="502"/>
      <c r="AK130" s="1564">
        <v>11</v>
      </c>
    </row>
    <row r="131" spans="1:37" s="1564" customFormat="1" ht="11.45" customHeight="1">
      <c r="A131" s="914"/>
      <c r="B131" s="1559"/>
      <c r="C131" s="1559"/>
      <c r="D131" s="287"/>
      <c r="P131" s="1083"/>
      <c r="Q131" s="1559"/>
      <c r="R131" s="1559"/>
      <c r="S131" s="1083"/>
      <c r="T131" s="1083"/>
      <c r="U131" s="1083"/>
      <c r="V131" s="1083"/>
      <c r="W131" s="1559"/>
      <c r="X131" s="1083"/>
      <c r="Y131" s="1083"/>
      <c r="Z131" s="480"/>
      <c r="AA131" s="1083"/>
      <c r="AB131" s="1083"/>
      <c r="AC131" s="1083"/>
      <c r="AD131" s="1083"/>
      <c r="AE131" s="1083"/>
      <c r="AF131" s="1555"/>
      <c r="AG131" s="502"/>
      <c r="AH131" s="502"/>
      <c r="AI131" s="502"/>
      <c r="AJ131" s="502"/>
      <c r="AK131" s="1564">
        <v>11</v>
      </c>
    </row>
    <row r="132" spans="1:37" s="1564" customFormat="1" ht="11.45" customHeight="1">
      <c r="A132" s="914"/>
      <c r="B132" s="1559"/>
      <c r="C132" s="1559"/>
      <c r="D132" s="287"/>
      <c r="P132" s="1083"/>
      <c r="Q132" s="1559"/>
      <c r="R132" s="1559"/>
      <c r="S132" s="1083"/>
      <c r="T132" s="1083"/>
      <c r="U132" s="1083"/>
      <c r="V132" s="1083"/>
      <c r="W132" s="1559"/>
      <c r="X132" s="1083"/>
      <c r="Y132" s="1083"/>
      <c r="Z132" s="480"/>
      <c r="AA132" s="1083"/>
      <c r="AB132" s="1083"/>
      <c r="AC132" s="1083"/>
      <c r="AD132" s="1083"/>
      <c r="AE132" s="1083"/>
      <c r="AF132" s="1555"/>
      <c r="AG132" s="502"/>
      <c r="AH132" s="502"/>
      <c r="AI132" s="502"/>
      <c r="AJ132" s="502"/>
      <c r="AK132" s="1564">
        <v>11</v>
      </c>
    </row>
    <row r="133" spans="1:37" s="1564" customFormat="1" ht="11.45" customHeight="1">
      <c r="A133" s="914"/>
      <c r="B133" s="1559"/>
      <c r="C133" s="1559"/>
      <c r="D133" s="287"/>
      <c r="P133" s="1083"/>
      <c r="Q133" s="1559"/>
      <c r="R133" s="1559"/>
      <c r="S133" s="1083"/>
      <c r="T133" s="1083"/>
      <c r="U133" s="1083"/>
      <c r="V133" s="1083"/>
      <c r="W133" s="1559"/>
      <c r="X133" s="1083"/>
      <c r="Y133" s="1083"/>
      <c r="Z133" s="480"/>
      <c r="AA133" s="1083"/>
      <c r="AB133" s="1083"/>
      <c r="AC133" s="1083"/>
      <c r="AD133" s="1083"/>
      <c r="AE133" s="1083"/>
      <c r="AF133" s="1555"/>
      <c r="AG133" s="502"/>
      <c r="AH133" s="502"/>
      <c r="AI133" s="502"/>
      <c r="AJ133" s="502"/>
      <c r="AK133" s="1564">
        <v>11</v>
      </c>
    </row>
    <row r="134" spans="1:37" s="1564" customFormat="1" ht="11.45" customHeight="1">
      <c r="A134" s="914"/>
      <c r="B134" s="1559"/>
      <c r="C134" s="1559"/>
      <c r="D134" s="287"/>
      <c r="P134" s="1083"/>
      <c r="Q134" s="1559"/>
      <c r="R134" s="1559"/>
      <c r="S134" s="1083"/>
      <c r="T134" s="1083"/>
      <c r="U134" s="1083"/>
      <c r="V134" s="1083"/>
      <c r="W134" s="1559"/>
      <c r="X134" s="1083"/>
      <c r="Y134" s="1083"/>
      <c r="Z134" s="480"/>
      <c r="AA134" s="1083"/>
      <c r="AB134" s="1083"/>
      <c r="AC134" s="1083"/>
      <c r="AD134" s="1083"/>
      <c r="AE134" s="1083"/>
      <c r="AF134" s="1555"/>
      <c r="AG134" s="502"/>
      <c r="AH134" s="502"/>
      <c r="AI134" s="502"/>
      <c r="AJ134" s="502"/>
      <c r="AK134" s="1564">
        <v>11</v>
      </c>
    </row>
    <row r="135" spans="1:37" s="1564" customFormat="1" ht="11.45" customHeight="1">
      <c r="A135" s="914"/>
      <c r="B135" s="1559"/>
      <c r="C135" s="1559"/>
      <c r="D135" s="287"/>
      <c r="P135" s="1083"/>
      <c r="Q135" s="1559"/>
      <c r="R135" s="1559"/>
      <c r="S135" s="1083"/>
      <c r="T135" s="1083"/>
      <c r="U135" s="1083"/>
      <c r="V135" s="1083"/>
      <c r="W135" s="1559"/>
      <c r="X135" s="1083"/>
      <c r="Y135" s="1083"/>
      <c r="Z135" s="480"/>
      <c r="AA135" s="1083"/>
      <c r="AB135" s="1083"/>
      <c r="AC135" s="1083"/>
      <c r="AD135" s="1083"/>
      <c r="AE135" s="1083"/>
      <c r="AF135" s="1555"/>
      <c r="AG135" s="502"/>
      <c r="AH135" s="502"/>
      <c r="AI135" s="502"/>
      <c r="AJ135" s="502"/>
      <c r="AK135" s="1564">
        <v>11</v>
      </c>
    </row>
    <row r="136" spans="1:37" s="1564" customFormat="1" ht="11.45" customHeight="1">
      <c r="A136" s="914"/>
      <c r="B136" s="1559"/>
      <c r="C136" s="1559"/>
      <c r="D136" s="287"/>
      <c r="P136" s="1083"/>
      <c r="Q136" s="1559"/>
      <c r="R136" s="1559"/>
      <c r="S136" s="1083"/>
      <c r="T136" s="1083"/>
      <c r="U136" s="1083"/>
      <c r="V136" s="1083"/>
      <c r="W136" s="1559"/>
      <c r="X136" s="1083"/>
      <c r="Y136" s="1083"/>
      <c r="Z136" s="480"/>
      <c r="AA136" s="1083"/>
      <c r="AB136" s="1083"/>
      <c r="AC136" s="1083"/>
      <c r="AD136" s="1083"/>
      <c r="AE136" s="1083"/>
      <c r="AF136" s="1555"/>
      <c r="AG136" s="502"/>
      <c r="AH136" s="502"/>
      <c r="AI136" s="502"/>
      <c r="AJ136" s="502"/>
      <c r="AK136" s="1564">
        <v>11</v>
      </c>
    </row>
    <row r="137" spans="1:37" s="1564" customFormat="1" ht="11.45" customHeight="1">
      <c r="A137" s="914"/>
      <c r="B137" s="1559"/>
      <c r="C137" s="1559"/>
      <c r="D137" s="287"/>
      <c r="P137" s="1083"/>
      <c r="Q137" s="1559"/>
      <c r="R137" s="1559"/>
      <c r="S137" s="1083"/>
      <c r="T137" s="1083"/>
      <c r="U137" s="1083"/>
      <c r="V137" s="1083"/>
      <c r="W137" s="1559"/>
      <c r="X137" s="1083"/>
      <c r="Y137" s="1083"/>
      <c r="Z137" s="480"/>
      <c r="AA137" s="1083"/>
      <c r="AB137" s="1083"/>
      <c r="AC137" s="1083"/>
      <c r="AD137" s="1083"/>
      <c r="AE137" s="1083"/>
      <c r="AF137" s="1555"/>
      <c r="AG137" s="502"/>
      <c r="AH137" s="502"/>
      <c r="AI137" s="502"/>
      <c r="AJ137" s="502"/>
      <c r="AK137" s="1564">
        <v>11</v>
      </c>
    </row>
    <row r="138" spans="1:37" s="1564" customFormat="1" ht="11.45" customHeight="1">
      <c r="A138" s="914"/>
      <c r="B138" s="1559"/>
      <c r="C138" s="1559"/>
      <c r="D138" s="287"/>
      <c r="P138" s="1083"/>
      <c r="Q138" s="1559"/>
      <c r="R138" s="1559"/>
      <c r="S138" s="1083"/>
      <c r="T138" s="1083"/>
      <c r="U138" s="1083"/>
      <c r="V138" s="1083"/>
      <c r="W138" s="1559"/>
      <c r="X138" s="1083"/>
      <c r="Y138" s="1083"/>
      <c r="Z138" s="480"/>
      <c r="AA138" s="1083"/>
      <c r="AB138" s="1083"/>
      <c r="AC138" s="1083"/>
      <c r="AD138" s="1083"/>
      <c r="AE138" s="1083"/>
      <c r="AF138" s="1555"/>
      <c r="AG138" s="502"/>
      <c r="AH138" s="502"/>
      <c r="AI138" s="502"/>
      <c r="AJ138" s="502"/>
      <c r="AK138" s="1564">
        <v>11</v>
      </c>
    </row>
    <row r="139" spans="1:37" s="1564" customFormat="1" ht="11.45" customHeight="1">
      <c r="A139" s="914"/>
      <c r="B139" s="1559"/>
      <c r="C139" s="1559"/>
      <c r="D139" s="287"/>
      <c r="P139" s="1083"/>
      <c r="Q139" s="1559"/>
      <c r="R139" s="1559"/>
      <c r="S139" s="1083"/>
      <c r="T139" s="1083"/>
      <c r="U139" s="1083"/>
      <c r="V139" s="1083"/>
      <c r="W139" s="1559"/>
      <c r="X139" s="1083"/>
      <c r="Y139" s="1083"/>
      <c r="Z139" s="480"/>
      <c r="AA139" s="1083"/>
      <c r="AB139" s="1083"/>
      <c r="AC139" s="1083"/>
      <c r="AD139" s="1083"/>
      <c r="AE139" s="1083"/>
      <c r="AF139" s="1555"/>
      <c r="AG139" s="502"/>
      <c r="AH139" s="502"/>
      <c r="AI139" s="502"/>
      <c r="AJ139" s="502"/>
      <c r="AK139" s="1564">
        <v>11</v>
      </c>
    </row>
    <row r="140" spans="1:37" s="1564" customFormat="1" ht="11.45" customHeight="1">
      <c r="A140" s="914"/>
      <c r="B140" s="1559"/>
      <c r="C140" s="1559"/>
      <c r="D140" s="287"/>
      <c r="P140" s="1083"/>
      <c r="Q140" s="1559"/>
      <c r="R140" s="1559"/>
      <c r="S140" s="1083"/>
      <c r="T140" s="1083"/>
      <c r="U140" s="1083"/>
      <c r="V140" s="1083"/>
      <c r="W140" s="1559"/>
      <c r="X140" s="1083"/>
      <c r="Y140" s="1083"/>
      <c r="Z140" s="480"/>
      <c r="AA140" s="1083"/>
      <c r="AB140" s="1083"/>
      <c r="AC140" s="1083"/>
      <c r="AD140" s="1083"/>
      <c r="AE140" s="1083"/>
      <c r="AF140" s="1555"/>
      <c r="AG140" s="502"/>
      <c r="AH140" s="502"/>
      <c r="AI140" s="502"/>
      <c r="AJ140" s="502"/>
      <c r="AK140" s="1564">
        <v>11</v>
      </c>
    </row>
    <row r="141" spans="1:37" s="1564" customFormat="1" ht="11.45" customHeight="1">
      <c r="A141" s="914"/>
      <c r="B141" s="1559"/>
      <c r="C141" s="1559"/>
      <c r="D141" s="287"/>
      <c r="P141" s="1083"/>
      <c r="Q141" s="1559"/>
      <c r="R141" s="1559"/>
      <c r="S141" s="1083"/>
      <c r="T141" s="1083"/>
      <c r="U141" s="1083"/>
      <c r="V141" s="1083"/>
      <c r="W141" s="1559"/>
      <c r="X141" s="1083"/>
      <c r="Y141" s="1083"/>
      <c r="Z141" s="480"/>
      <c r="AA141" s="1083"/>
      <c r="AB141" s="1083"/>
      <c r="AC141" s="1083"/>
      <c r="AD141" s="1083"/>
      <c r="AE141" s="1083"/>
      <c r="AF141" s="1555"/>
      <c r="AG141" s="502"/>
      <c r="AH141" s="502"/>
      <c r="AI141" s="502"/>
      <c r="AJ141" s="502"/>
      <c r="AK141" s="1564">
        <v>11</v>
      </c>
    </row>
    <row r="142" spans="1:37" s="1564" customFormat="1" ht="11.45" customHeight="1">
      <c r="A142" s="914"/>
      <c r="B142" s="1559"/>
      <c r="C142" s="1559"/>
      <c r="D142" s="287"/>
      <c r="P142" s="1083"/>
      <c r="Q142" s="1559"/>
      <c r="R142" s="1559"/>
      <c r="S142" s="1083"/>
      <c r="T142" s="1083"/>
      <c r="U142" s="1083"/>
      <c r="V142" s="1083"/>
      <c r="W142" s="1559"/>
      <c r="X142" s="1083"/>
      <c r="Y142" s="1083"/>
      <c r="Z142" s="480"/>
      <c r="AA142" s="1083"/>
      <c r="AB142" s="1083"/>
      <c r="AC142" s="1083"/>
      <c r="AD142" s="1083"/>
      <c r="AE142" s="1083"/>
      <c r="AF142" s="1555"/>
      <c r="AG142" s="502"/>
      <c r="AH142" s="502"/>
      <c r="AI142" s="502"/>
      <c r="AJ142" s="502"/>
      <c r="AK142" s="1564">
        <v>11</v>
      </c>
    </row>
    <row r="143" spans="1:37" s="1564" customFormat="1" ht="11.45" customHeight="1">
      <c r="A143" s="914"/>
      <c r="B143" s="1559"/>
      <c r="C143" s="1559"/>
      <c r="D143" s="287"/>
      <c r="P143" s="1083"/>
      <c r="Q143" s="1559"/>
      <c r="R143" s="1559"/>
      <c r="S143" s="1083"/>
      <c r="T143" s="1083"/>
      <c r="U143" s="1083"/>
      <c r="V143" s="1083"/>
      <c r="W143" s="1559"/>
      <c r="X143" s="1083"/>
      <c r="Y143" s="1083"/>
      <c r="Z143" s="480"/>
      <c r="AA143" s="1083"/>
      <c r="AB143" s="1083"/>
      <c r="AC143" s="1083"/>
      <c r="AD143" s="1083"/>
      <c r="AE143" s="1083"/>
      <c r="AF143" s="1555"/>
      <c r="AG143" s="502"/>
      <c r="AH143" s="502"/>
      <c r="AI143" s="502"/>
      <c r="AJ143" s="502"/>
      <c r="AK143" s="1564">
        <v>11</v>
      </c>
    </row>
    <row r="144" spans="1:37" s="1564" customFormat="1" ht="11.45" customHeight="1">
      <c r="A144" s="914"/>
      <c r="B144" s="1559"/>
      <c r="C144" s="1559"/>
      <c r="D144" s="287"/>
      <c r="P144" s="1083"/>
      <c r="Q144" s="1559"/>
      <c r="R144" s="1559"/>
      <c r="S144" s="1083"/>
      <c r="T144" s="1083"/>
      <c r="U144" s="1083"/>
      <c r="V144" s="1083"/>
      <c r="W144" s="1559"/>
      <c r="X144" s="1083"/>
      <c r="Y144" s="1083"/>
      <c r="Z144" s="480"/>
      <c r="AA144" s="1083"/>
      <c r="AB144" s="1083"/>
      <c r="AC144" s="1083"/>
      <c r="AD144" s="1083"/>
      <c r="AE144" s="1083"/>
      <c r="AF144" s="1555"/>
      <c r="AG144" s="502"/>
      <c r="AH144" s="502"/>
      <c r="AI144" s="502"/>
      <c r="AJ144" s="502"/>
      <c r="AK144" s="1564">
        <v>11</v>
      </c>
    </row>
    <row r="145" spans="1:37" s="1564" customFormat="1" ht="11.45" customHeight="1">
      <c r="A145" s="914"/>
      <c r="B145" s="1559"/>
      <c r="C145" s="1559"/>
      <c r="D145" s="287"/>
      <c r="P145" s="1083"/>
      <c r="Q145" s="1559"/>
      <c r="R145" s="1559"/>
      <c r="S145" s="1083"/>
      <c r="T145" s="1083"/>
      <c r="U145" s="1083"/>
      <c r="V145" s="1083"/>
      <c r="W145" s="1559"/>
      <c r="X145" s="1083"/>
      <c r="Y145" s="1083"/>
      <c r="Z145" s="480"/>
      <c r="AA145" s="1083"/>
      <c r="AB145" s="1083"/>
      <c r="AC145" s="1083"/>
      <c r="AD145" s="1083"/>
      <c r="AE145" s="1083"/>
      <c r="AF145" s="1555"/>
      <c r="AG145" s="502"/>
      <c r="AH145" s="502"/>
      <c r="AI145" s="502"/>
      <c r="AJ145" s="502"/>
      <c r="AK145" s="1564">
        <v>11</v>
      </c>
    </row>
    <row r="146" spans="1:37" s="1564" customFormat="1" ht="11.45" customHeight="1">
      <c r="A146" s="914"/>
      <c r="B146" s="1559"/>
      <c r="C146" s="1559"/>
      <c r="D146" s="287"/>
      <c r="P146" s="1083"/>
      <c r="Q146" s="1559"/>
      <c r="R146" s="1559"/>
      <c r="S146" s="1083"/>
      <c r="T146" s="1083"/>
      <c r="U146" s="1083"/>
      <c r="V146" s="1083"/>
      <c r="W146" s="1559"/>
      <c r="X146" s="1083"/>
      <c r="Y146" s="1083"/>
      <c r="Z146" s="480"/>
      <c r="AA146" s="1083"/>
      <c r="AB146" s="1083"/>
      <c r="AC146" s="1083"/>
      <c r="AD146" s="1083"/>
      <c r="AE146" s="1083"/>
      <c r="AF146" s="1555"/>
      <c r="AG146" s="502"/>
      <c r="AH146" s="502"/>
      <c r="AI146" s="502"/>
      <c r="AJ146" s="502"/>
      <c r="AK146" s="1564">
        <v>11</v>
      </c>
    </row>
    <row r="147" spans="1:37" s="1564" customFormat="1" ht="11.45" customHeight="1">
      <c r="A147" s="914"/>
      <c r="B147" s="1559"/>
      <c r="C147" s="1559"/>
      <c r="D147" s="287"/>
      <c r="P147" s="1083"/>
      <c r="Q147" s="1559"/>
      <c r="R147" s="1559"/>
      <c r="S147" s="1083"/>
      <c r="T147" s="1083"/>
      <c r="U147" s="1083"/>
      <c r="V147" s="1083"/>
      <c r="W147" s="1559"/>
      <c r="X147" s="1083"/>
      <c r="Y147" s="1083"/>
      <c r="Z147" s="480"/>
      <c r="AA147" s="1083"/>
      <c r="AB147" s="1083"/>
      <c r="AC147" s="1083"/>
      <c r="AD147" s="1083"/>
      <c r="AE147" s="1083"/>
      <c r="AF147" s="1555"/>
      <c r="AG147" s="502"/>
      <c r="AH147" s="502"/>
      <c r="AI147" s="502"/>
      <c r="AJ147" s="502"/>
      <c r="AK147" s="1564">
        <v>11</v>
      </c>
    </row>
    <row r="148" spans="1:37" s="1564" customFormat="1" ht="11.45" customHeight="1">
      <c r="A148" s="914"/>
      <c r="B148" s="1559"/>
      <c r="C148" s="1559"/>
      <c r="D148" s="287"/>
      <c r="P148" s="1083"/>
      <c r="Q148" s="1559"/>
      <c r="R148" s="1559"/>
      <c r="S148" s="1083"/>
      <c r="T148" s="1083"/>
      <c r="U148" s="1083"/>
      <c r="V148" s="1083"/>
      <c r="W148" s="1559"/>
      <c r="X148" s="1083"/>
      <c r="Y148" s="1083"/>
      <c r="Z148" s="480"/>
      <c r="AA148" s="1083"/>
      <c r="AB148" s="1083"/>
      <c r="AC148" s="1083"/>
      <c r="AD148" s="1083"/>
      <c r="AE148" s="1083"/>
      <c r="AF148" s="1555"/>
      <c r="AG148" s="502"/>
      <c r="AH148" s="502"/>
      <c r="AI148" s="502"/>
      <c r="AJ148" s="502"/>
      <c r="AK148" s="1564">
        <v>11</v>
      </c>
    </row>
    <row r="149" spans="1:37" s="1564" customFormat="1" ht="11.45" customHeight="1">
      <c r="A149" s="914"/>
      <c r="B149" s="1559"/>
      <c r="C149" s="1559"/>
      <c r="D149" s="287"/>
      <c r="P149" s="1083"/>
      <c r="Q149" s="1559"/>
      <c r="R149" s="1559"/>
      <c r="S149" s="1083"/>
      <c r="T149" s="1083"/>
      <c r="U149" s="1083"/>
      <c r="V149" s="1083"/>
      <c r="W149" s="1559"/>
      <c r="X149" s="1083"/>
      <c r="Y149" s="1083"/>
      <c r="Z149" s="480"/>
      <c r="AA149" s="1083"/>
      <c r="AB149" s="1083"/>
      <c r="AC149" s="1083"/>
      <c r="AD149" s="1083"/>
      <c r="AE149" s="1083"/>
      <c r="AF149" s="1555"/>
      <c r="AG149" s="502"/>
      <c r="AH149" s="502"/>
      <c r="AI149" s="502"/>
      <c r="AJ149" s="502"/>
      <c r="AK149" s="1564">
        <v>11</v>
      </c>
    </row>
    <row r="150" spans="1:37" s="1564" customFormat="1" ht="11.45" customHeight="1">
      <c r="A150" s="914"/>
      <c r="B150" s="1559"/>
      <c r="C150" s="1559"/>
      <c r="D150" s="287"/>
      <c r="P150" s="1083"/>
      <c r="Q150" s="1559"/>
      <c r="R150" s="1559"/>
      <c r="S150" s="1083"/>
      <c r="T150" s="1083"/>
      <c r="U150" s="1083"/>
      <c r="V150" s="1083"/>
      <c r="W150" s="1559"/>
      <c r="X150" s="1083"/>
      <c r="Y150" s="1083"/>
      <c r="Z150" s="480"/>
      <c r="AA150" s="1083"/>
      <c r="AB150" s="1083"/>
      <c r="AC150" s="1083"/>
      <c r="AD150" s="1083"/>
      <c r="AE150" s="1083"/>
      <c r="AF150" s="1555"/>
      <c r="AG150" s="502"/>
      <c r="AH150" s="502"/>
      <c r="AI150" s="502"/>
      <c r="AJ150" s="502"/>
      <c r="AK150" s="1564">
        <v>11</v>
      </c>
    </row>
    <row r="151" spans="1:37" s="1564" customFormat="1" ht="11.45" customHeight="1">
      <c r="A151" s="914"/>
      <c r="B151" s="1559"/>
      <c r="C151" s="1559"/>
      <c r="D151" s="287"/>
      <c r="P151" s="1083"/>
      <c r="Q151" s="1559"/>
      <c r="R151" s="1559"/>
      <c r="S151" s="1083"/>
      <c r="T151" s="1083"/>
      <c r="U151" s="1083"/>
      <c r="V151" s="1083"/>
      <c r="W151" s="1559"/>
      <c r="X151" s="1083"/>
      <c r="Y151" s="1083"/>
      <c r="Z151" s="480"/>
      <c r="AA151" s="1083"/>
      <c r="AB151" s="1083"/>
      <c r="AC151" s="1083"/>
      <c r="AD151" s="1083"/>
      <c r="AE151" s="1083"/>
      <c r="AF151" s="1555"/>
      <c r="AG151" s="502"/>
      <c r="AH151" s="502"/>
      <c r="AI151" s="502"/>
      <c r="AJ151" s="502"/>
      <c r="AK151" s="1564">
        <v>11</v>
      </c>
    </row>
    <row r="152" spans="1:37" s="1564" customFormat="1" ht="11.45" customHeight="1">
      <c r="A152" s="914"/>
      <c r="B152" s="1559"/>
      <c r="C152" s="1559"/>
      <c r="D152" s="287"/>
      <c r="P152" s="1083"/>
      <c r="Q152" s="1559"/>
      <c r="R152" s="1559"/>
      <c r="S152" s="1083"/>
      <c r="T152" s="1083"/>
      <c r="U152" s="1083"/>
      <c r="V152" s="1083"/>
      <c r="W152" s="1559"/>
      <c r="X152" s="1083"/>
      <c r="Y152" s="1083"/>
      <c r="Z152" s="480"/>
      <c r="AA152" s="1083"/>
      <c r="AB152" s="1083"/>
      <c r="AC152" s="1083"/>
      <c r="AD152" s="1083"/>
      <c r="AE152" s="1083"/>
      <c r="AF152" s="1555"/>
      <c r="AG152" s="502"/>
      <c r="AH152" s="502"/>
      <c r="AI152" s="502"/>
      <c r="AJ152" s="502"/>
      <c r="AK152" s="1564">
        <v>11</v>
      </c>
    </row>
    <row r="153" spans="1:37" s="1564" customFormat="1" ht="11.45" customHeight="1">
      <c r="A153" s="914"/>
      <c r="B153" s="1559"/>
      <c r="C153" s="1559"/>
      <c r="D153" s="287"/>
      <c r="P153" s="1083"/>
      <c r="Q153" s="1559"/>
      <c r="R153" s="1559"/>
      <c r="S153" s="1083"/>
      <c r="T153" s="1083"/>
      <c r="U153" s="1083"/>
      <c r="V153" s="1083"/>
      <c r="W153" s="1559"/>
      <c r="X153" s="1083"/>
      <c r="Y153" s="1083"/>
      <c r="Z153" s="480"/>
      <c r="AA153" s="1083"/>
      <c r="AB153" s="1083"/>
      <c r="AC153" s="1083"/>
      <c r="AD153" s="1083"/>
      <c r="AE153" s="1083"/>
      <c r="AF153" s="1555"/>
      <c r="AG153" s="502"/>
      <c r="AH153" s="502"/>
      <c r="AI153" s="502"/>
      <c r="AJ153" s="502"/>
      <c r="AK153" s="1564">
        <v>11</v>
      </c>
    </row>
    <row r="154" spans="1:37" s="1564" customFormat="1" ht="11.45" customHeight="1">
      <c r="A154" s="914"/>
      <c r="B154" s="1559"/>
      <c r="C154" s="1559"/>
      <c r="D154" s="287"/>
      <c r="P154" s="1083"/>
      <c r="Q154" s="1559"/>
      <c r="R154" s="1559"/>
      <c r="S154" s="1083"/>
      <c r="T154" s="1083"/>
      <c r="U154" s="1083"/>
      <c r="V154" s="1083"/>
      <c r="W154" s="1559"/>
      <c r="X154" s="1083"/>
      <c r="Y154" s="1083"/>
      <c r="Z154" s="480"/>
      <c r="AA154" s="1083"/>
      <c r="AB154" s="1083"/>
      <c r="AC154" s="1083"/>
      <c r="AD154" s="1083"/>
      <c r="AE154" s="1083"/>
      <c r="AF154" s="1555"/>
      <c r="AG154" s="502"/>
      <c r="AH154" s="502"/>
      <c r="AI154" s="502"/>
      <c r="AJ154" s="502"/>
      <c r="AK154" s="1564">
        <v>11</v>
      </c>
    </row>
    <row r="155" spans="1:37" s="1564" customFormat="1" ht="11.45" customHeight="1">
      <c r="A155" s="914"/>
      <c r="B155" s="1559"/>
      <c r="C155" s="1559"/>
      <c r="D155" s="287"/>
      <c r="P155" s="1083"/>
      <c r="Q155" s="1559"/>
      <c r="R155" s="1559"/>
      <c r="S155" s="1083"/>
      <c r="T155" s="1083"/>
      <c r="U155" s="1083"/>
      <c r="V155" s="1083"/>
      <c r="W155" s="1559"/>
      <c r="X155" s="1083"/>
      <c r="Y155" s="1083"/>
      <c r="Z155" s="480"/>
      <c r="AA155" s="1083"/>
      <c r="AB155" s="1083"/>
      <c r="AC155" s="1083"/>
      <c r="AD155" s="1083"/>
      <c r="AE155" s="1083"/>
      <c r="AF155" s="1555"/>
      <c r="AG155" s="502"/>
      <c r="AH155" s="502"/>
      <c r="AI155" s="502"/>
      <c r="AJ155" s="502"/>
      <c r="AK155" s="1564">
        <v>11</v>
      </c>
    </row>
    <row r="156" spans="1:37" s="1564" customFormat="1" ht="11.45" customHeight="1">
      <c r="A156" s="914"/>
      <c r="B156" s="1559"/>
      <c r="C156" s="1559"/>
      <c r="D156" s="287"/>
      <c r="P156" s="1083"/>
      <c r="Q156" s="1559"/>
      <c r="R156" s="1559"/>
      <c r="S156" s="1083"/>
      <c r="T156" s="1083"/>
      <c r="U156" s="1083"/>
      <c r="V156" s="1083"/>
      <c r="W156" s="1559"/>
      <c r="X156" s="1083"/>
      <c r="Y156" s="1083"/>
      <c r="Z156" s="480"/>
      <c r="AA156" s="1083"/>
      <c r="AB156" s="1083"/>
      <c r="AC156" s="1083"/>
      <c r="AD156" s="1083"/>
      <c r="AE156" s="1083"/>
      <c r="AF156" s="1555"/>
      <c r="AG156" s="502"/>
      <c r="AH156" s="502"/>
      <c r="AI156" s="502"/>
      <c r="AJ156" s="502"/>
      <c r="AK156" s="1564">
        <v>11</v>
      </c>
    </row>
    <row r="157" spans="1:37" s="1564" customFormat="1" ht="11.45" customHeight="1">
      <c r="A157" s="914"/>
      <c r="B157" s="1559"/>
      <c r="C157" s="1559"/>
      <c r="D157" s="287"/>
      <c r="P157" s="1083"/>
      <c r="Q157" s="1559"/>
      <c r="R157" s="1559"/>
      <c r="S157" s="1083"/>
      <c r="T157" s="1083"/>
      <c r="U157" s="1083"/>
      <c r="V157" s="1083"/>
      <c r="W157" s="1559"/>
      <c r="X157" s="1083"/>
      <c r="Y157" s="1083"/>
      <c r="Z157" s="480"/>
      <c r="AA157" s="1083"/>
      <c r="AB157" s="1083"/>
      <c r="AC157" s="1083"/>
      <c r="AD157" s="1083"/>
      <c r="AE157" s="1083"/>
      <c r="AF157" s="1555"/>
      <c r="AG157" s="502"/>
      <c r="AH157" s="502"/>
      <c r="AI157" s="502"/>
      <c r="AJ157" s="502"/>
      <c r="AK157" s="1564">
        <v>11</v>
      </c>
    </row>
    <row r="158" spans="1:37" s="1564" customFormat="1" ht="11.45" customHeight="1">
      <c r="A158" s="914"/>
      <c r="B158" s="1559"/>
      <c r="C158" s="1559"/>
      <c r="D158" s="287"/>
      <c r="P158" s="1083"/>
      <c r="Q158" s="1559"/>
      <c r="R158" s="1559"/>
      <c r="S158" s="1083"/>
      <c r="T158" s="1083"/>
      <c r="U158" s="1083"/>
      <c r="V158" s="1083"/>
      <c r="W158" s="1559"/>
      <c r="X158" s="1083"/>
      <c r="Y158" s="1083"/>
      <c r="Z158" s="480"/>
      <c r="AA158" s="1083"/>
      <c r="AB158" s="1083"/>
      <c r="AC158" s="1083"/>
      <c r="AD158" s="1083"/>
      <c r="AE158" s="1083"/>
      <c r="AF158" s="1555"/>
      <c r="AG158" s="502"/>
      <c r="AH158" s="502"/>
      <c r="AI158" s="502"/>
      <c r="AJ158" s="502"/>
      <c r="AK158" s="1564">
        <v>11</v>
      </c>
    </row>
    <row r="159" spans="1:37" s="1564" customFormat="1" ht="11.45" customHeight="1">
      <c r="A159" s="914"/>
      <c r="B159" s="1559"/>
      <c r="C159" s="1559"/>
      <c r="D159" s="287"/>
      <c r="P159" s="1083"/>
      <c r="Q159" s="1559"/>
      <c r="R159" s="1559"/>
      <c r="S159" s="1083"/>
      <c r="T159" s="1083"/>
      <c r="U159" s="1083"/>
      <c r="V159" s="1083"/>
      <c r="W159" s="1559"/>
      <c r="X159" s="1083"/>
      <c r="Y159" s="1083"/>
      <c r="Z159" s="480"/>
      <c r="AA159" s="1083"/>
      <c r="AB159" s="1083"/>
      <c r="AC159" s="1083"/>
      <c r="AD159" s="1083"/>
      <c r="AE159" s="1083"/>
      <c r="AF159" s="1555"/>
      <c r="AG159" s="502"/>
      <c r="AH159" s="502"/>
      <c r="AI159" s="502"/>
      <c r="AJ159" s="502"/>
      <c r="AK159" s="1564">
        <v>11</v>
      </c>
    </row>
    <row r="160" spans="1:37" s="1564" customFormat="1" ht="11.45" customHeight="1">
      <c r="A160" s="914"/>
      <c r="B160" s="1559"/>
      <c r="C160" s="1559"/>
      <c r="D160" s="287"/>
      <c r="P160" s="1083"/>
      <c r="Q160" s="1559"/>
      <c r="R160" s="1559"/>
      <c r="S160" s="1083"/>
      <c r="T160" s="1083"/>
      <c r="U160" s="1083"/>
      <c r="V160" s="1083"/>
      <c r="W160" s="1559"/>
      <c r="X160" s="1083"/>
      <c r="Y160" s="1083"/>
      <c r="Z160" s="480"/>
      <c r="AA160" s="1083"/>
      <c r="AB160" s="1083"/>
      <c r="AC160" s="1083"/>
      <c r="AD160" s="1083"/>
      <c r="AE160" s="1083"/>
      <c r="AF160" s="1555"/>
      <c r="AG160" s="502"/>
      <c r="AH160" s="502"/>
      <c r="AI160" s="502"/>
      <c r="AJ160" s="502"/>
      <c r="AK160" s="1564">
        <v>11</v>
      </c>
    </row>
    <row r="161" spans="1:37" s="1564" customFormat="1" ht="11.45" customHeight="1">
      <c r="A161" s="914"/>
      <c r="B161" s="1559"/>
      <c r="C161" s="1559"/>
      <c r="D161" s="287"/>
      <c r="P161" s="1083"/>
      <c r="Q161" s="1559"/>
      <c r="R161" s="1559"/>
      <c r="S161" s="1083"/>
      <c r="T161" s="1083"/>
      <c r="U161" s="1083"/>
      <c r="V161" s="1083"/>
      <c r="W161" s="1559"/>
      <c r="X161" s="1083"/>
      <c r="Y161" s="1083"/>
      <c r="Z161" s="480"/>
      <c r="AA161" s="1083"/>
      <c r="AB161" s="1083"/>
      <c r="AC161" s="1083"/>
      <c r="AD161" s="1083"/>
      <c r="AE161" s="1083"/>
      <c r="AF161" s="1555"/>
      <c r="AG161" s="502"/>
      <c r="AH161" s="502"/>
      <c r="AI161" s="502"/>
      <c r="AJ161" s="502"/>
      <c r="AK161" s="1564">
        <v>11</v>
      </c>
    </row>
    <row r="162" spans="1:37" s="1564" customFormat="1" ht="11.45" customHeight="1">
      <c r="A162" s="914"/>
      <c r="B162" s="1559"/>
      <c r="C162" s="1559"/>
      <c r="D162" s="287"/>
      <c r="P162" s="1083"/>
      <c r="Q162" s="1559"/>
      <c r="R162" s="1559"/>
      <c r="S162" s="1083"/>
      <c r="T162" s="1083"/>
      <c r="U162" s="1083"/>
      <c r="V162" s="1083"/>
      <c r="W162" s="1559"/>
      <c r="X162" s="1083"/>
      <c r="Y162" s="1083"/>
      <c r="Z162" s="480"/>
      <c r="AA162" s="1083"/>
      <c r="AB162" s="1083"/>
      <c r="AC162" s="1083"/>
      <c r="AD162" s="1083"/>
      <c r="AE162" s="1083"/>
      <c r="AF162" s="1555"/>
      <c r="AG162" s="502"/>
      <c r="AH162" s="502"/>
      <c r="AI162" s="502"/>
      <c r="AJ162" s="502"/>
      <c r="AK162" s="1564">
        <v>11</v>
      </c>
    </row>
    <row r="163" spans="1:37" s="1564" customFormat="1" ht="11.45" customHeight="1">
      <c r="A163" s="914"/>
      <c r="B163" s="1559"/>
      <c r="C163" s="1559"/>
      <c r="D163" s="287"/>
      <c r="P163" s="1083"/>
      <c r="Q163" s="1559"/>
      <c r="R163" s="1559"/>
      <c r="S163" s="1083"/>
      <c r="T163" s="1083"/>
      <c r="U163" s="1083"/>
      <c r="V163" s="1083"/>
      <c r="W163" s="1559"/>
      <c r="X163" s="1083"/>
      <c r="Y163" s="1083"/>
      <c r="Z163" s="480"/>
      <c r="AA163" s="1083"/>
      <c r="AB163" s="1083"/>
      <c r="AC163" s="1083"/>
      <c r="AD163" s="1083"/>
      <c r="AE163" s="1083"/>
      <c r="AF163" s="1555"/>
      <c r="AG163" s="502"/>
      <c r="AH163" s="502"/>
      <c r="AI163" s="502"/>
      <c r="AJ163" s="502"/>
      <c r="AK163" s="1564">
        <v>11</v>
      </c>
    </row>
    <row r="164" spans="1:37" s="1564" customFormat="1" ht="11.45" customHeight="1">
      <c r="A164" s="914"/>
      <c r="B164" s="1559"/>
      <c r="C164" s="1559"/>
      <c r="D164" s="287"/>
      <c r="P164" s="1083"/>
      <c r="Q164" s="1559"/>
      <c r="R164" s="1559"/>
      <c r="S164" s="1083"/>
      <c r="T164" s="1083"/>
      <c r="U164" s="1083"/>
      <c r="V164" s="1083"/>
      <c r="W164" s="1559"/>
      <c r="X164" s="1083"/>
      <c r="Y164" s="1083"/>
      <c r="Z164" s="480"/>
      <c r="AA164" s="1083"/>
      <c r="AB164" s="1083"/>
      <c r="AC164" s="1083"/>
      <c r="AD164" s="1083"/>
      <c r="AE164" s="1083"/>
      <c r="AF164" s="1555"/>
      <c r="AG164" s="502"/>
      <c r="AH164" s="502"/>
      <c r="AI164" s="502"/>
      <c r="AJ164" s="502"/>
      <c r="AK164" s="1564">
        <v>11</v>
      </c>
    </row>
    <row r="165" spans="1:37" s="1564" customFormat="1" ht="11.45" customHeight="1">
      <c r="A165" s="914"/>
      <c r="B165" s="1559"/>
      <c r="C165" s="1559"/>
      <c r="D165" s="287"/>
      <c r="P165" s="1083"/>
      <c r="Q165" s="1559"/>
      <c r="R165" s="1559"/>
      <c r="S165" s="1083"/>
      <c r="T165" s="1083"/>
      <c r="U165" s="1083"/>
      <c r="V165" s="1083"/>
      <c r="W165" s="1559"/>
      <c r="X165" s="1083"/>
      <c r="Y165" s="1083"/>
      <c r="Z165" s="480"/>
      <c r="AA165" s="1083"/>
      <c r="AB165" s="1083"/>
      <c r="AC165" s="1083"/>
      <c r="AD165" s="1083"/>
      <c r="AE165" s="1083"/>
      <c r="AF165" s="1555"/>
      <c r="AG165" s="502"/>
      <c r="AH165" s="502"/>
      <c r="AI165" s="502"/>
      <c r="AJ165" s="502"/>
      <c r="AK165" s="1564">
        <v>11</v>
      </c>
    </row>
    <row r="166" spans="1:37" s="1564" customFormat="1" ht="11.45" customHeight="1">
      <c r="A166" s="914"/>
      <c r="B166" s="1559"/>
      <c r="C166" s="1559"/>
      <c r="D166" s="287"/>
      <c r="P166" s="1083"/>
      <c r="Q166" s="1559"/>
      <c r="R166" s="1559"/>
      <c r="S166" s="1083"/>
      <c r="T166" s="1083"/>
      <c r="U166" s="1083"/>
      <c r="V166" s="1083"/>
      <c r="W166" s="1559"/>
      <c r="X166" s="1083"/>
      <c r="Y166" s="1083"/>
      <c r="Z166" s="480"/>
      <c r="AA166" s="1083"/>
      <c r="AB166" s="1083"/>
      <c r="AC166" s="1083"/>
      <c r="AD166" s="1083"/>
      <c r="AE166" s="1083"/>
      <c r="AF166" s="1555"/>
      <c r="AG166" s="502"/>
      <c r="AH166" s="502"/>
      <c r="AI166" s="502"/>
      <c r="AJ166" s="502"/>
      <c r="AK166" s="1564">
        <v>11</v>
      </c>
    </row>
    <row r="167" spans="1:37" s="1564" customFormat="1" ht="11.45" customHeight="1">
      <c r="A167" s="914"/>
      <c r="B167" s="1559"/>
      <c r="C167" s="1559"/>
      <c r="D167" s="287"/>
      <c r="P167" s="1083"/>
      <c r="Q167" s="1559"/>
      <c r="R167" s="1559"/>
      <c r="S167" s="1083"/>
      <c r="T167" s="1083"/>
      <c r="U167" s="1083"/>
      <c r="V167" s="1083"/>
      <c r="W167" s="1559"/>
      <c r="X167" s="1083"/>
      <c r="Y167" s="1083"/>
      <c r="Z167" s="480"/>
      <c r="AA167" s="1083"/>
      <c r="AB167" s="1083"/>
      <c r="AC167" s="1083"/>
      <c r="AD167" s="1083"/>
      <c r="AE167" s="1083"/>
      <c r="AF167" s="1555"/>
      <c r="AG167" s="502"/>
      <c r="AH167" s="502"/>
      <c r="AI167" s="502"/>
      <c r="AJ167" s="502"/>
      <c r="AK167" s="1564">
        <v>11</v>
      </c>
    </row>
    <row r="168" spans="1:37" s="1564" customFormat="1" ht="11.45" customHeight="1">
      <c r="A168" s="914"/>
      <c r="B168" s="1559"/>
      <c r="C168" s="1559"/>
      <c r="D168" s="287"/>
      <c r="P168" s="1083"/>
      <c r="Q168" s="1559"/>
      <c r="R168" s="1559"/>
      <c r="S168" s="1083"/>
      <c r="T168" s="1083"/>
      <c r="U168" s="1083"/>
      <c r="V168" s="1083"/>
      <c r="W168" s="1559"/>
      <c r="X168" s="1083"/>
      <c r="Y168" s="1083"/>
      <c r="Z168" s="480"/>
      <c r="AA168" s="1083"/>
      <c r="AB168" s="1083"/>
      <c r="AC168" s="1083"/>
      <c r="AD168" s="1083"/>
      <c r="AE168" s="1083"/>
      <c r="AF168" s="1555"/>
      <c r="AG168" s="502"/>
      <c r="AH168" s="502"/>
      <c r="AI168" s="502"/>
      <c r="AJ168" s="502"/>
      <c r="AK168" s="1564">
        <v>11</v>
      </c>
    </row>
    <row r="169" spans="1:37" s="1564" customFormat="1" ht="11.45" customHeight="1">
      <c r="A169" s="914"/>
      <c r="B169" s="1559"/>
      <c r="C169" s="1559"/>
      <c r="D169" s="287"/>
      <c r="P169" s="1083"/>
      <c r="Q169" s="1559"/>
      <c r="R169" s="1559"/>
      <c r="S169" s="1083"/>
      <c r="T169" s="1083"/>
      <c r="U169" s="1083"/>
      <c r="V169" s="1083"/>
      <c r="W169" s="1559"/>
      <c r="X169" s="1083"/>
      <c r="Y169" s="1083"/>
      <c r="Z169" s="480"/>
      <c r="AA169" s="1083"/>
      <c r="AB169" s="1083"/>
      <c r="AC169" s="1083"/>
      <c r="AD169" s="1083"/>
      <c r="AE169" s="1083"/>
      <c r="AF169" s="1555"/>
      <c r="AG169" s="502"/>
      <c r="AH169" s="502"/>
      <c r="AI169" s="502"/>
      <c r="AJ169" s="502"/>
      <c r="AK169" s="1564">
        <v>11</v>
      </c>
    </row>
    <row r="170" spans="1:37" s="1564" customFormat="1" ht="11.45" customHeight="1">
      <c r="A170" s="914"/>
      <c r="B170" s="1559"/>
      <c r="C170" s="1559"/>
      <c r="D170" s="287"/>
      <c r="P170" s="1083"/>
      <c r="Q170" s="1559"/>
      <c r="R170" s="1559"/>
      <c r="S170" s="1083"/>
      <c r="T170" s="1083"/>
      <c r="U170" s="1083"/>
      <c r="V170" s="1083"/>
      <c r="W170" s="1559"/>
      <c r="X170" s="1083"/>
      <c r="Y170" s="1083"/>
      <c r="Z170" s="480"/>
      <c r="AA170" s="1083"/>
      <c r="AB170" s="1083"/>
      <c r="AC170" s="1083"/>
      <c r="AD170" s="1083"/>
      <c r="AE170" s="1083"/>
      <c r="AF170" s="1555"/>
      <c r="AG170" s="502"/>
      <c r="AH170" s="502"/>
      <c r="AI170" s="502"/>
      <c r="AJ170" s="502"/>
      <c r="AK170" s="1564">
        <v>11</v>
      </c>
    </row>
    <row r="171" spans="1:37" s="1564" customFormat="1" ht="11.45" customHeight="1">
      <c r="A171" s="914"/>
      <c r="B171" s="1559"/>
      <c r="C171" s="1559"/>
      <c r="D171" s="287"/>
      <c r="P171" s="1083"/>
      <c r="Q171" s="1559"/>
      <c r="R171" s="1559"/>
      <c r="S171" s="1083"/>
      <c r="T171" s="1083"/>
      <c r="U171" s="1083"/>
      <c r="V171" s="1083"/>
      <c r="W171" s="1559"/>
      <c r="X171" s="1083"/>
      <c r="Y171" s="1083"/>
      <c r="Z171" s="480"/>
      <c r="AA171" s="1083"/>
      <c r="AB171" s="1083"/>
      <c r="AC171" s="1083"/>
      <c r="AD171" s="1083"/>
      <c r="AE171" s="1083"/>
      <c r="AF171" s="1555"/>
      <c r="AG171" s="502"/>
      <c r="AH171" s="502"/>
      <c r="AI171" s="502"/>
      <c r="AJ171" s="502"/>
      <c r="AK171" s="1564">
        <v>11</v>
      </c>
    </row>
    <row r="172" spans="1:37" s="1564" customFormat="1" ht="11.45" customHeight="1">
      <c r="A172" s="914"/>
      <c r="B172" s="1559"/>
      <c r="C172" s="1559"/>
      <c r="D172" s="287"/>
      <c r="P172" s="1083"/>
      <c r="Q172" s="1559"/>
      <c r="R172" s="1559"/>
      <c r="S172" s="1083"/>
      <c r="T172" s="1083"/>
      <c r="U172" s="1083"/>
      <c r="V172" s="1083"/>
      <c r="W172" s="1559"/>
      <c r="X172" s="1083"/>
      <c r="Y172" s="1083"/>
      <c r="Z172" s="480"/>
      <c r="AA172" s="1083"/>
      <c r="AB172" s="1083"/>
      <c r="AC172" s="1083"/>
      <c r="AD172" s="1083"/>
      <c r="AE172" s="1083"/>
      <c r="AF172" s="1555"/>
      <c r="AG172" s="502"/>
      <c r="AH172" s="502"/>
      <c r="AI172" s="502"/>
      <c r="AJ172" s="502"/>
      <c r="AK172" s="1564">
        <v>11</v>
      </c>
    </row>
    <row r="173" spans="1:37" s="1564" customFormat="1" ht="11.45" customHeight="1">
      <c r="A173" s="914"/>
      <c r="B173" s="1559"/>
      <c r="C173" s="1559"/>
      <c r="D173" s="287"/>
      <c r="P173" s="1083"/>
      <c r="Q173" s="1559"/>
      <c r="R173" s="1559"/>
      <c r="S173" s="1083"/>
      <c r="T173" s="1083"/>
      <c r="U173" s="1083"/>
      <c r="V173" s="1083"/>
      <c r="W173" s="1559"/>
      <c r="X173" s="1083"/>
      <c r="Y173" s="1083"/>
      <c r="Z173" s="480"/>
      <c r="AA173" s="1083"/>
      <c r="AB173" s="1083"/>
      <c r="AC173" s="1083"/>
      <c r="AD173" s="1083"/>
      <c r="AE173" s="1083"/>
      <c r="AF173" s="1555"/>
      <c r="AG173" s="502"/>
      <c r="AH173" s="502"/>
      <c r="AI173" s="502"/>
      <c r="AJ173" s="502"/>
      <c r="AK173" s="1564">
        <v>11</v>
      </c>
    </row>
    <row r="174" spans="1:37" s="1564" customFormat="1" ht="11.45" customHeight="1">
      <c r="A174" s="914"/>
      <c r="B174" s="1559"/>
      <c r="C174" s="1559"/>
      <c r="D174" s="287"/>
      <c r="P174" s="1083"/>
      <c r="Q174" s="1559"/>
      <c r="R174" s="1559"/>
      <c r="S174" s="1083"/>
      <c r="T174" s="1083"/>
      <c r="U174" s="1083"/>
      <c r="V174" s="1083"/>
      <c r="W174" s="1559"/>
      <c r="X174" s="1083"/>
      <c r="Y174" s="1083"/>
      <c r="Z174" s="480"/>
      <c r="AA174" s="1083"/>
      <c r="AB174" s="1083"/>
      <c r="AC174" s="1083"/>
      <c r="AD174" s="1083"/>
      <c r="AE174" s="1083"/>
      <c r="AF174" s="1555"/>
      <c r="AG174" s="502"/>
      <c r="AH174" s="502"/>
      <c r="AI174" s="502"/>
      <c r="AJ174" s="502"/>
      <c r="AK174" s="1564">
        <v>11</v>
      </c>
    </row>
    <row r="175" spans="1:37" s="1564" customFormat="1" ht="11.45" customHeight="1">
      <c r="A175" s="914"/>
      <c r="B175" s="1559"/>
      <c r="C175" s="1559"/>
      <c r="D175" s="287"/>
      <c r="P175" s="1083"/>
      <c r="Q175" s="1559"/>
      <c r="R175" s="1559"/>
      <c r="S175" s="1083"/>
      <c r="T175" s="1083"/>
      <c r="U175" s="1083"/>
      <c r="V175" s="1083"/>
      <c r="W175" s="1559"/>
      <c r="X175" s="1083"/>
      <c r="Y175" s="1083"/>
      <c r="Z175" s="480"/>
      <c r="AA175" s="1083"/>
      <c r="AB175" s="1083"/>
      <c r="AC175" s="1083"/>
      <c r="AD175" s="1083"/>
      <c r="AE175" s="1083"/>
      <c r="AF175" s="1555"/>
      <c r="AG175" s="502"/>
      <c r="AH175" s="502"/>
      <c r="AI175" s="502"/>
      <c r="AJ175" s="502"/>
      <c r="AK175" s="1564">
        <v>11</v>
      </c>
    </row>
    <row r="176" spans="1:37" s="1564" customFormat="1" ht="11.45" customHeight="1">
      <c r="A176" s="914"/>
      <c r="B176" s="1559"/>
      <c r="C176" s="1559"/>
      <c r="D176" s="287"/>
      <c r="P176" s="1083"/>
      <c r="Q176" s="1559"/>
      <c r="R176" s="1559"/>
      <c r="S176" s="1083"/>
      <c r="T176" s="1083"/>
      <c r="U176" s="1083"/>
      <c r="V176" s="1083"/>
      <c r="W176" s="1559"/>
      <c r="X176" s="1083"/>
      <c r="Y176" s="1083"/>
      <c r="Z176" s="480"/>
      <c r="AA176" s="1083"/>
      <c r="AB176" s="1083"/>
      <c r="AC176" s="1083"/>
      <c r="AD176" s="1083"/>
      <c r="AE176" s="1083"/>
      <c r="AF176" s="1555"/>
      <c r="AG176" s="502"/>
      <c r="AH176" s="502"/>
      <c r="AI176" s="502"/>
      <c r="AJ176" s="502"/>
      <c r="AK176" s="1564">
        <v>11</v>
      </c>
    </row>
    <row r="177" spans="1:37" s="1564" customFormat="1" ht="11.45" customHeight="1">
      <c r="A177" s="914"/>
      <c r="B177" s="1559"/>
      <c r="C177" s="1559"/>
      <c r="D177" s="287"/>
      <c r="P177" s="1083"/>
      <c r="Q177" s="1559"/>
      <c r="R177" s="1559"/>
      <c r="S177" s="1083"/>
      <c r="T177" s="1083"/>
      <c r="U177" s="1083"/>
      <c r="V177" s="1083"/>
      <c r="W177" s="1559"/>
      <c r="X177" s="1083"/>
      <c r="Y177" s="1083"/>
      <c r="Z177" s="480"/>
      <c r="AA177" s="1083"/>
      <c r="AB177" s="1083"/>
      <c r="AC177" s="1083"/>
      <c r="AD177" s="1083"/>
      <c r="AE177" s="1083"/>
      <c r="AF177" s="1555"/>
      <c r="AG177" s="502"/>
      <c r="AH177" s="502"/>
      <c r="AI177" s="502"/>
      <c r="AJ177" s="502"/>
      <c r="AK177" s="1564">
        <v>11</v>
      </c>
    </row>
    <row r="178" spans="1:37" s="1564" customFormat="1" ht="11.45" customHeight="1">
      <c r="A178" s="914"/>
      <c r="B178" s="1559"/>
      <c r="C178" s="1559"/>
      <c r="D178" s="287"/>
      <c r="P178" s="1083"/>
      <c r="Q178" s="1559"/>
      <c r="R178" s="1559"/>
      <c r="S178" s="1083"/>
      <c r="T178" s="1083"/>
      <c r="U178" s="1083"/>
      <c r="V178" s="1083"/>
      <c r="W178" s="1559"/>
      <c r="X178" s="1083"/>
      <c r="Y178" s="1083"/>
      <c r="Z178" s="480"/>
      <c r="AA178" s="1083"/>
      <c r="AB178" s="1083"/>
      <c r="AC178" s="1083"/>
      <c r="AD178" s="1083"/>
      <c r="AE178" s="1083"/>
      <c r="AF178" s="1555"/>
      <c r="AG178" s="502"/>
      <c r="AH178" s="502"/>
      <c r="AI178" s="502"/>
      <c r="AJ178" s="502"/>
      <c r="AK178" s="1564">
        <v>11</v>
      </c>
    </row>
    <row r="179" spans="1:37" s="1564" customFormat="1" ht="11.45" customHeight="1">
      <c r="A179" s="914"/>
      <c r="B179" s="1559"/>
      <c r="C179" s="1559"/>
      <c r="D179" s="287"/>
      <c r="P179" s="1083"/>
      <c r="Q179" s="1559"/>
      <c r="R179" s="1559"/>
      <c r="S179" s="1083"/>
      <c r="T179" s="1083"/>
      <c r="U179" s="1083"/>
      <c r="V179" s="1083"/>
      <c r="W179" s="1559"/>
      <c r="X179" s="1083"/>
      <c r="Y179" s="1083"/>
      <c r="Z179" s="480"/>
      <c r="AA179" s="1083"/>
      <c r="AB179" s="1083"/>
      <c r="AC179" s="1083"/>
      <c r="AD179" s="1083"/>
      <c r="AE179" s="1083"/>
      <c r="AF179" s="1555"/>
      <c r="AG179" s="502"/>
      <c r="AH179" s="502"/>
      <c r="AI179" s="502"/>
      <c r="AJ179" s="502"/>
      <c r="AK179" s="1564">
        <v>11</v>
      </c>
    </row>
    <row r="180" spans="1:37" s="1564" customFormat="1" ht="11.45" customHeight="1">
      <c r="A180" s="914"/>
      <c r="B180" s="1559"/>
      <c r="C180" s="1559"/>
      <c r="D180" s="287"/>
      <c r="P180" s="1083"/>
      <c r="Q180" s="1559"/>
      <c r="R180" s="1559"/>
      <c r="S180" s="1083"/>
      <c r="T180" s="1083"/>
      <c r="U180" s="1083"/>
      <c r="V180" s="1083"/>
      <c r="W180" s="1559"/>
      <c r="X180" s="1083"/>
      <c r="Y180" s="1083"/>
      <c r="Z180" s="480"/>
      <c r="AA180" s="1083"/>
      <c r="AB180" s="1083"/>
      <c r="AC180" s="1083"/>
      <c r="AD180" s="1083"/>
      <c r="AE180" s="1083"/>
      <c r="AF180" s="1555"/>
      <c r="AG180" s="502"/>
      <c r="AH180" s="502"/>
      <c r="AI180" s="502"/>
      <c r="AJ180" s="502"/>
      <c r="AK180" s="1564">
        <v>11</v>
      </c>
    </row>
    <row r="181" spans="1:37" s="1564" customFormat="1" ht="11.45" customHeight="1">
      <c r="A181" s="914"/>
      <c r="B181" s="1559"/>
      <c r="C181" s="1559"/>
      <c r="D181" s="287"/>
      <c r="P181" s="1083"/>
      <c r="Q181" s="1559"/>
      <c r="R181" s="1559"/>
      <c r="S181" s="1083"/>
      <c r="T181" s="1083"/>
      <c r="U181" s="1083"/>
      <c r="V181" s="1083"/>
      <c r="W181" s="1559"/>
      <c r="X181" s="1083"/>
      <c r="Y181" s="1083"/>
      <c r="Z181" s="480"/>
      <c r="AA181" s="1083"/>
      <c r="AB181" s="1083"/>
      <c r="AC181" s="1083"/>
      <c r="AD181" s="1083"/>
      <c r="AE181" s="1083"/>
      <c r="AF181" s="1555"/>
      <c r="AG181" s="502"/>
      <c r="AH181" s="502"/>
      <c r="AI181" s="502"/>
      <c r="AJ181" s="502"/>
      <c r="AK181" s="1564">
        <v>11</v>
      </c>
    </row>
    <row r="182" spans="1:37" s="1564" customFormat="1" ht="11.45" customHeight="1">
      <c r="A182" s="914"/>
      <c r="B182" s="1559"/>
      <c r="C182" s="1559"/>
      <c r="D182" s="287"/>
      <c r="P182" s="1083"/>
      <c r="Q182" s="1559"/>
      <c r="R182" s="1559"/>
      <c r="S182" s="1083"/>
      <c r="T182" s="1083"/>
      <c r="U182" s="1083"/>
      <c r="V182" s="1083"/>
      <c r="W182" s="1559"/>
      <c r="X182" s="1083"/>
      <c r="Y182" s="1083"/>
      <c r="Z182" s="480"/>
      <c r="AA182" s="1083"/>
      <c r="AB182" s="1083"/>
      <c r="AC182" s="1083"/>
      <c r="AD182" s="1083"/>
      <c r="AE182" s="1083"/>
      <c r="AF182" s="1555"/>
      <c r="AG182" s="502"/>
      <c r="AH182" s="502"/>
      <c r="AI182" s="502"/>
      <c r="AJ182" s="502"/>
      <c r="AK182" s="1564">
        <v>11</v>
      </c>
    </row>
    <row r="183" spans="1:37" s="1564" customFormat="1" ht="11.45" customHeight="1">
      <c r="A183" s="914"/>
      <c r="B183" s="1559"/>
      <c r="C183" s="1559"/>
      <c r="D183" s="287"/>
      <c r="P183" s="1083"/>
      <c r="Q183" s="1559"/>
      <c r="R183" s="1559"/>
      <c r="S183" s="1083"/>
      <c r="T183" s="1083"/>
      <c r="U183" s="1083"/>
      <c r="V183" s="1083"/>
      <c r="W183" s="1559"/>
      <c r="X183" s="1083"/>
      <c r="Y183" s="1083"/>
      <c r="Z183" s="480"/>
      <c r="AA183" s="1083"/>
      <c r="AB183" s="1083"/>
      <c r="AC183" s="1083"/>
      <c r="AD183" s="1083"/>
      <c r="AE183" s="1083"/>
      <c r="AF183" s="1555"/>
      <c r="AG183" s="502"/>
      <c r="AH183" s="502"/>
      <c r="AI183" s="502"/>
      <c r="AJ183" s="502"/>
      <c r="AK183" s="1564">
        <v>11</v>
      </c>
    </row>
    <row r="184" spans="1:37" s="1564" customFormat="1" ht="11.45" customHeight="1">
      <c r="A184" s="914"/>
      <c r="B184" s="1559"/>
      <c r="C184" s="1559"/>
      <c r="D184" s="287"/>
      <c r="P184" s="1083"/>
      <c r="Q184" s="1559"/>
      <c r="R184" s="1559"/>
      <c r="S184" s="1083"/>
      <c r="T184" s="1083"/>
      <c r="U184" s="1083"/>
      <c r="V184" s="1083"/>
      <c r="W184" s="1559"/>
      <c r="X184" s="1083"/>
      <c r="Y184" s="1083"/>
      <c r="Z184" s="480"/>
      <c r="AA184" s="1083"/>
      <c r="AB184" s="1083"/>
      <c r="AC184" s="1083"/>
      <c r="AD184" s="1083"/>
      <c r="AE184" s="1083"/>
      <c r="AF184" s="1555"/>
      <c r="AG184" s="502"/>
      <c r="AH184" s="502"/>
      <c r="AI184" s="502"/>
      <c r="AJ184" s="502"/>
      <c r="AK184" s="1564">
        <v>11</v>
      </c>
    </row>
    <row r="185" spans="1:37" s="1564" customFormat="1" ht="11.45" customHeight="1">
      <c r="A185" s="914"/>
      <c r="B185" s="1559"/>
      <c r="C185" s="1559"/>
      <c r="D185" s="287"/>
      <c r="P185" s="1083"/>
      <c r="Q185" s="1559"/>
      <c r="R185" s="1559"/>
      <c r="S185" s="1083"/>
      <c r="T185" s="1083"/>
      <c r="U185" s="1083"/>
      <c r="V185" s="1083"/>
      <c r="W185" s="1559"/>
      <c r="X185" s="1083"/>
      <c r="Y185" s="1083"/>
      <c r="Z185" s="480"/>
      <c r="AA185" s="1083"/>
      <c r="AB185" s="1083"/>
      <c r="AC185" s="1083"/>
      <c r="AD185" s="1083"/>
      <c r="AE185" s="1083"/>
      <c r="AF185" s="1555"/>
      <c r="AG185" s="502"/>
      <c r="AH185" s="502"/>
      <c r="AI185" s="502"/>
      <c r="AJ185" s="502"/>
      <c r="AK185" s="1564">
        <v>11</v>
      </c>
    </row>
    <row r="186" spans="1:37" s="1564" customFormat="1" ht="11.45" customHeight="1">
      <c r="A186" s="914"/>
      <c r="B186" s="1559"/>
      <c r="C186" s="1559"/>
      <c r="D186" s="287"/>
      <c r="P186" s="1083"/>
      <c r="Q186" s="1559"/>
      <c r="R186" s="1559"/>
      <c r="S186" s="1083"/>
      <c r="T186" s="1083"/>
      <c r="U186" s="1083"/>
      <c r="V186" s="1083"/>
      <c r="W186" s="1559"/>
      <c r="X186" s="1083"/>
      <c r="Y186" s="1083"/>
      <c r="Z186" s="480"/>
      <c r="AA186" s="1083"/>
      <c r="AB186" s="1083"/>
      <c r="AC186" s="1083"/>
      <c r="AD186" s="1083"/>
      <c r="AE186" s="1083"/>
      <c r="AF186" s="1555"/>
      <c r="AG186" s="502"/>
      <c r="AH186" s="502"/>
      <c r="AI186" s="502"/>
      <c r="AJ186" s="502"/>
      <c r="AK186" s="1564">
        <v>11</v>
      </c>
    </row>
    <row r="187" spans="1:37" s="1564" customFormat="1" ht="11.45" customHeight="1">
      <c r="A187" s="914"/>
      <c r="B187" s="1559"/>
      <c r="C187" s="1559"/>
      <c r="D187" s="287"/>
      <c r="P187" s="1083"/>
      <c r="Q187" s="1559"/>
      <c r="R187" s="1559"/>
      <c r="S187" s="1083"/>
      <c r="T187" s="1083"/>
      <c r="U187" s="1083"/>
      <c r="V187" s="1083"/>
      <c r="W187" s="1559"/>
      <c r="X187" s="1083"/>
      <c r="Y187" s="1083"/>
      <c r="Z187" s="480"/>
      <c r="AA187" s="1083"/>
      <c r="AB187" s="1083"/>
      <c r="AC187" s="1083"/>
      <c r="AD187" s="1083"/>
      <c r="AE187" s="1083"/>
      <c r="AF187" s="1555"/>
      <c r="AG187" s="502"/>
      <c r="AH187" s="502"/>
      <c r="AI187" s="502"/>
      <c r="AJ187" s="502"/>
      <c r="AK187" s="1564">
        <v>11</v>
      </c>
    </row>
    <row r="188" spans="1:37" s="1564" customFormat="1" ht="11.45" customHeight="1">
      <c r="A188" s="914"/>
      <c r="B188" s="1559"/>
      <c r="C188" s="1559"/>
      <c r="D188" s="287"/>
      <c r="P188" s="1083"/>
      <c r="Q188" s="1559"/>
      <c r="R188" s="1559"/>
      <c r="S188" s="1083"/>
      <c r="T188" s="1083"/>
      <c r="U188" s="1083"/>
      <c r="V188" s="1083"/>
      <c r="W188" s="1559"/>
      <c r="X188" s="1083"/>
      <c r="Y188" s="1083"/>
      <c r="Z188" s="480"/>
      <c r="AA188" s="1083"/>
      <c r="AB188" s="1083"/>
      <c r="AC188" s="1083"/>
      <c r="AD188" s="1083"/>
      <c r="AE188" s="1083"/>
      <c r="AF188" s="1555"/>
      <c r="AG188" s="502"/>
      <c r="AH188" s="502"/>
      <c r="AI188" s="502"/>
      <c r="AJ188" s="502"/>
      <c r="AK188" s="1564">
        <v>11</v>
      </c>
    </row>
    <row r="189" spans="1:37" s="1564" customFormat="1" ht="11.45" customHeight="1">
      <c r="A189" s="914"/>
      <c r="B189" s="1559"/>
      <c r="C189" s="1559"/>
      <c r="D189" s="287"/>
      <c r="P189" s="1083"/>
      <c r="Q189" s="1559"/>
      <c r="R189" s="1559"/>
      <c r="S189" s="1083"/>
      <c r="T189" s="1083"/>
      <c r="U189" s="1083"/>
      <c r="V189" s="1083"/>
      <c r="W189" s="1559"/>
      <c r="X189" s="1083"/>
      <c r="Y189" s="1083"/>
      <c r="Z189" s="480"/>
      <c r="AA189" s="1083"/>
      <c r="AB189" s="1083"/>
      <c r="AC189" s="1083"/>
      <c r="AD189" s="1083"/>
      <c r="AE189" s="1083"/>
      <c r="AF189" s="1555"/>
      <c r="AG189" s="502"/>
      <c r="AH189" s="502"/>
      <c r="AI189" s="502"/>
      <c r="AJ189" s="502"/>
      <c r="AK189" s="1564">
        <v>11</v>
      </c>
    </row>
    <row r="190" spans="1:37" s="1564" customFormat="1" ht="11.45" customHeight="1">
      <c r="A190" s="914"/>
      <c r="B190" s="1559"/>
      <c r="C190" s="1559"/>
      <c r="D190" s="287"/>
      <c r="P190" s="1083"/>
      <c r="Q190" s="1559"/>
      <c r="R190" s="1559"/>
      <c r="S190" s="1083"/>
      <c r="T190" s="1083"/>
      <c r="U190" s="1083"/>
      <c r="V190" s="1083"/>
      <c r="W190" s="1559"/>
      <c r="X190" s="1083"/>
      <c r="Y190" s="1083"/>
      <c r="Z190" s="480"/>
      <c r="AA190" s="1083"/>
      <c r="AB190" s="1083"/>
      <c r="AC190" s="1083"/>
      <c r="AD190" s="1083"/>
      <c r="AE190" s="1083"/>
      <c r="AF190" s="1555"/>
      <c r="AG190" s="502"/>
      <c r="AH190" s="502"/>
      <c r="AI190" s="502"/>
      <c r="AJ190" s="502"/>
      <c r="AK190" s="1564">
        <v>11</v>
      </c>
    </row>
    <row r="191" spans="1:37" s="1564" customFormat="1" ht="11.45" customHeight="1">
      <c r="A191" s="914"/>
      <c r="B191" s="1559"/>
      <c r="C191" s="1559"/>
      <c r="D191" s="287"/>
      <c r="P191" s="1083"/>
      <c r="Q191" s="1559"/>
      <c r="R191" s="1559"/>
      <c r="S191" s="1083"/>
      <c r="T191" s="1083"/>
      <c r="U191" s="1083"/>
      <c r="V191" s="1083"/>
      <c r="W191" s="1559"/>
      <c r="X191" s="1083"/>
      <c r="Y191" s="1083"/>
      <c r="Z191" s="480"/>
      <c r="AA191" s="1083"/>
      <c r="AB191" s="1083"/>
      <c r="AC191" s="1083"/>
      <c r="AD191" s="1083"/>
      <c r="AE191" s="1083"/>
      <c r="AF191" s="1555"/>
      <c r="AG191" s="502"/>
      <c r="AH191" s="502"/>
      <c r="AI191" s="502"/>
      <c r="AJ191" s="502"/>
      <c r="AK191" s="1564">
        <v>11</v>
      </c>
    </row>
    <row r="192" spans="1:37" s="1564" customFormat="1" ht="11.45" customHeight="1">
      <c r="A192" s="914"/>
      <c r="B192" s="1559"/>
      <c r="C192" s="1559"/>
      <c r="D192" s="287"/>
      <c r="P192" s="1083"/>
      <c r="Q192" s="1559"/>
      <c r="R192" s="1559"/>
      <c r="S192" s="1083"/>
      <c r="T192" s="1083"/>
      <c r="U192" s="1083"/>
      <c r="V192" s="1083"/>
      <c r="W192" s="1559"/>
      <c r="X192" s="1083"/>
      <c r="Y192" s="1083"/>
      <c r="Z192" s="480"/>
      <c r="AA192" s="1083"/>
      <c r="AB192" s="1083"/>
      <c r="AC192" s="1083"/>
      <c r="AD192" s="1083"/>
      <c r="AE192" s="1083"/>
      <c r="AF192" s="1555"/>
      <c r="AG192" s="502"/>
      <c r="AH192" s="502"/>
      <c r="AI192" s="502"/>
      <c r="AJ192" s="502"/>
      <c r="AK192" s="1564">
        <v>11</v>
      </c>
    </row>
    <row r="193" spans="1:37" s="1564" customFormat="1" ht="11.45" customHeight="1">
      <c r="A193" s="914"/>
      <c r="B193" s="1559"/>
      <c r="C193" s="1559"/>
      <c r="D193" s="287"/>
      <c r="P193" s="1083"/>
      <c r="Q193" s="1559"/>
      <c r="R193" s="1559"/>
      <c r="S193" s="1083"/>
      <c r="T193" s="1083"/>
      <c r="U193" s="1083"/>
      <c r="V193" s="1083"/>
      <c r="W193" s="1559"/>
      <c r="X193" s="1083"/>
      <c r="Y193" s="1083"/>
      <c r="Z193" s="480"/>
      <c r="AA193" s="1083"/>
      <c r="AB193" s="1083"/>
      <c r="AC193" s="1083"/>
      <c r="AD193" s="1083"/>
      <c r="AE193" s="1083"/>
      <c r="AF193" s="1555"/>
      <c r="AG193" s="502"/>
      <c r="AH193" s="502"/>
      <c r="AI193" s="502"/>
      <c r="AJ193" s="502"/>
      <c r="AK193" s="1564">
        <v>11</v>
      </c>
    </row>
    <row r="194" spans="1:37" s="1564" customFormat="1" ht="11.45" customHeight="1">
      <c r="A194" s="914"/>
      <c r="B194" s="1559"/>
      <c r="C194" s="1559"/>
      <c r="D194" s="287"/>
      <c r="P194" s="1083"/>
      <c r="Q194" s="1559"/>
      <c r="R194" s="1559"/>
      <c r="S194" s="1083"/>
      <c r="T194" s="1083"/>
      <c r="U194" s="1083"/>
      <c r="V194" s="1083"/>
      <c r="W194" s="1559"/>
      <c r="X194" s="1083"/>
      <c r="Y194" s="1083"/>
      <c r="Z194" s="480"/>
      <c r="AA194" s="1083"/>
      <c r="AB194" s="1083"/>
      <c r="AC194" s="1083"/>
      <c r="AD194" s="1083"/>
      <c r="AE194" s="1083"/>
      <c r="AF194" s="1555"/>
      <c r="AG194" s="502"/>
      <c r="AH194" s="502"/>
      <c r="AI194" s="502"/>
      <c r="AJ194" s="502"/>
      <c r="AK194" s="1564">
        <v>11</v>
      </c>
    </row>
    <row r="195" spans="1:37" s="1564" customFormat="1" ht="11.45" customHeight="1">
      <c r="A195" s="914"/>
      <c r="B195" s="1559"/>
      <c r="C195" s="1559"/>
      <c r="D195" s="287"/>
      <c r="P195" s="1083"/>
      <c r="Q195" s="1559"/>
      <c r="R195" s="1559"/>
      <c r="S195" s="1083"/>
      <c r="T195" s="1083"/>
      <c r="U195" s="1083"/>
      <c r="V195" s="1083"/>
      <c r="W195" s="1559"/>
      <c r="X195" s="1083"/>
      <c r="Y195" s="1083"/>
      <c r="Z195" s="480"/>
      <c r="AA195" s="1083"/>
      <c r="AB195" s="1083"/>
      <c r="AC195" s="1083"/>
      <c r="AD195" s="1083"/>
      <c r="AE195" s="1083"/>
      <c r="AF195" s="1555"/>
      <c r="AG195" s="502"/>
      <c r="AH195" s="502"/>
      <c r="AI195" s="502"/>
      <c r="AJ195" s="502"/>
      <c r="AK195" s="1564">
        <v>11</v>
      </c>
    </row>
    <row r="196" spans="1:37" s="1564" customFormat="1" ht="11.45" customHeight="1">
      <c r="A196" s="914"/>
      <c r="B196" s="1559"/>
      <c r="C196" s="1559"/>
      <c r="D196" s="287"/>
      <c r="P196" s="1083"/>
      <c r="Q196" s="1559"/>
      <c r="R196" s="1559"/>
      <c r="S196" s="1083"/>
      <c r="T196" s="1083"/>
      <c r="U196" s="1083"/>
      <c r="V196" s="1083"/>
      <c r="W196" s="1559"/>
      <c r="X196" s="1083"/>
      <c r="Y196" s="1083"/>
      <c r="Z196" s="480"/>
      <c r="AA196" s="1083"/>
      <c r="AB196" s="1083"/>
      <c r="AC196" s="1083"/>
      <c r="AD196" s="1083"/>
      <c r="AE196" s="1083"/>
      <c r="AF196" s="1555"/>
      <c r="AG196" s="502"/>
      <c r="AH196" s="502"/>
      <c r="AI196" s="502"/>
      <c r="AJ196" s="502"/>
      <c r="AK196" s="1564">
        <v>11</v>
      </c>
    </row>
    <row r="197" spans="1:37" s="1564" customFormat="1" ht="11.45" customHeight="1">
      <c r="A197" s="914"/>
      <c r="B197" s="1559"/>
      <c r="C197" s="1559"/>
      <c r="D197" s="287"/>
      <c r="P197" s="1083"/>
      <c r="Q197" s="1559"/>
      <c r="R197" s="1559"/>
      <c r="S197" s="1083"/>
      <c r="T197" s="1083"/>
      <c r="U197" s="1083"/>
      <c r="V197" s="1083"/>
      <c r="W197" s="1559"/>
      <c r="X197" s="1083"/>
      <c r="Y197" s="1083"/>
      <c r="Z197" s="480"/>
      <c r="AA197" s="1083"/>
      <c r="AB197" s="1083"/>
      <c r="AC197" s="1083"/>
      <c r="AD197" s="1083"/>
      <c r="AE197" s="1083"/>
      <c r="AF197" s="1555"/>
      <c r="AG197" s="502"/>
      <c r="AH197" s="502"/>
      <c r="AI197" s="502"/>
      <c r="AJ197" s="502"/>
      <c r="AK197" s="1564">
        <v>11</v>
      </c>
    </row>
    <row r="198" spans="1:37" s="1564" customFormat="1" ht="11.45" customHeight="1">
      <c r="A198" s="914"/>
      <c r="B198" s="1559"/>
      <c r="C198" s="1559"/>
      <c r="D198" s="287"/>
      <c r="P198" s="1083"/>
      <c r="Q198" s="1559"/>
      <c r="R198" s="1559"/>
      <c r="S198" s="1083"/>
      <c r="T198" s="1083"/>
      <c r="U198" s="1083"/>
      <c r="V198" s="1083"/>
      <c r="W198" s="1559"/>
      <c r="X198" s="1083"/>
      <c r="Y198" s="1083"/>
      <c r="Z198" s="480"/>
      <c r="AA198" s="1083"/>
      <c r="AB198" s="1083"/>
      <c r="AC198" s="1083"/>
      <c r="AD198" s="1083"/>
      <c r="AE198" s="1083"/>
      <c r="AF198" s="1555"/>
      <c r="AG198" s="502"/>
      <c r="AH198" s="502"/>
      <c r="AI198" s="502"/>
      <c r="AJ198" s="502"/>
      <c r="AK198" s="1564">
        <v>11</v>
      </c>
    </row>
    <row r="199" spans="1:37" s="1564" customFormat="1" ht="11.45" customHeight="1">
      <c r="A199" s="914"/>
      <c r="B199" s="1559"/>
      <c r="C199" s="1559"/>
      <c r="D199" s="287"/>
      <c r="P199" s="1083"/>
      <c r="Q199" s="1559"/>
      <c r="R199" s="1559"/>
      <c r="S199" s="1083"/>
      <c r="T199" s="1083"/>
      <c r="U199" s="1083"/>
      <c r="V199" s="1083"/>
      <c r="W199" s="1559"/>
      <c r="X199" s="1083"/>
      <c r="Y199" s="1083"/>
      <c r="Z199" s="480"/>
      <c r="AA199" s="1083"/>
      <c r="AB199" s="1083"/>
      <c r="AC199" s="1083"/>
      <c r="AD199" s="1083"/>
      <c r="AE199" s="1083"/>
      <c r="AF199" s="1555"/>
      <c r="AG199" s="502"/>
      <c r="AH199" s="502"/>
      <c r="AI199" s="502"/>
      <c r="AJ199" s="502"/>
      <c r="AK199" s="1564">
        <v>11</v>
      </c>
    </row>
    <row r="200" spans="1:37" s="1564" customFormat="1" ht="11.45" customHeight="1">
      <c r="A200" s="914"/>
      <c r="B200" s="1559"/>
      <c r="C200" s="1559"/>
      <c r="D200" s="287"/>
      <c r="P200" s="1083"/>
      <c r="Q200" s="1559"/>
      <c r="R200" s="1559"/>
      <c r="S200" s="1083"/>
      <c r="T200" s="1083"/>
      <c r="U200" s="1083"/>
      <c r="V200" s="1083"/>
      <c r="W200" s="1559"/>
      <c r="X200" s="1083"/>
      <c r="Y200" s="1083"/>
      <c r="Z200" s="480"/>
      <c r="AA200" s="1083"/>
      <c r="AB200" s="1083"/>
      <c r="AC200" s="1083"/>
      <c r="AD200" s="1083"/>
      <c r="AE200" s="1083"/>
      <c r="AF200" s="1555"/>
      <c r="AG200" s="502"/>
      <c r="AH200" s="502"/>
      <c r="AI200" s="502"/>
      <c r="AJ200" s="502"/>
      <c r="AK200" s="1564">
        <v>11</v>
      </c>
    </row>
    <row r="201" spans="1:37" s="1564" customFormat="1" ht="11.45" customHeight="1">
      <c r="A201" s="914"/>
      <c r="B201" s="1559"/>
      <c r="C201" s="1559"/>
      <c r="D201" s="287"/>
      <c r="P201" s="1083"/>
      <c r="Q201" s="1559"/>
      <c r="R201" s="1559"/>
      <c r="S201" s="1083"/>
      <c r="T201" s="1083"/>
      <c r="U201" s="1083"/>
      <c r="V201" s="1083"/>
      <c r="W201" s="1559"/>
      <c r="X201" s="1083"/>
      <c r="Y201" s="1083"/>
      <c r="Z201" s="480"/>
      <c r="AA201" s="1083"/>
      <c r="AB201" s="1083"/>
      <c r="AC201" s="1083"/>
      <c r="AD201" s="1083"/>
      <c r="AE201" s="1083"/>
      <c r="AF201" s="1555"/>
      <c r="AG201" s="502"/>
      <c r="AH201" s="502"/>
      <c r="AI201" s="502"/>
      <c r="AJ201" s="502"/>
      <c r="AK201" s="1564">
        <v>11</v>
      </c>
    </row>
    <row r="202" spans="1:37" s="1564" customFormat="1" ht="11.45" customHeight="1">
      <c r="A202" s="914"/>
      <c r="B202" s="1559"/>
      <c r="C202" s="1559"/>
      <c r="D202" s="287"/>
      <c r="P202" s="1083"/>
      <c r="Q202" s="1559"/>
      <c r="R202" s="1559"/>
      <c r="S202" s="1083"/>
      <c r="T202" s="1083"/>
      <c r="U202" s="1083"/>
      <c r="V202" s="1083"/>
      <c r="W202" s="1559"/>
      <c r="X202" s="1083"/>
      <c r="Y202" s="1083"/>
      <c r="Z202" s="480"/>
      <c r="AA202" s="1083"/>
      <c r="AB202" s="1083"/>
      <c r="AC202" s="1083"/>
      <c r="AD202" s="1083"/>
      <c r="AE202" s="1083"/>
      <c r="AF202" s="1555"/>
      <c r="AG202" s="502"/>
      <c r="AH202" s="502"/>
      <c r="AI202" s="502"/>
      <c r="AJ202" s="502"/>
      <c r="AK202" s="1564">
        <v>11</v>
      </c>
    </row>
    <row r="203" spans="1:37" s="1564" customFormat="1" ht="11.45" customHeight="1">
      <c r="A203" s="914"/>
      <c r="B203" s="1559"/>
      <c r="C203" s="1559"/>
      <c r="D203" s="287"/>
      <c r="P203" s="1083"/>
      <c r="Q203" s="1559"/>
      <c r="R203" s="1559"/>
      <c r="S203" s="1083"/>
      <c r="T203" s="1083"/>
      <c r="U203" s="1083"/>
      <c r="V203" s="1083"/>
      <c r="W203" s="1559"/>
      <c r="X203" s="1083"/>
      <c r="Y203" s="1083"/>
      <c r="Z203" s="480"/>
      <c r="AA203" s="1083"/>
      <c r="AB203" s="1083"/>
      <c r="AC203" s="1083"/>
      <c r="AD203" s="1083"/>
      <c r="AE203" s="1083"/>
      <c r="AF203" s="1555"/>
      <c r="AG203" s="502"/>
      <c r="AH203" s="502"/>
      <c r="AI203" s="502"/>
      <c r="AJ203" s="502"/>
      <c r="AK203" s="1564">
        <v>11</v>
      </c>
    </row>
    <row r="204" spans="1:37" s="1564" customFormat="1" ht="11.45" customHeight="1">
      <c r="A204" s="914"/>
      <c r="B204" s="1559"/>
      <c r="C204" s="1559"/>
      <c r="D204" s="287"/>
      <c r="P204" s="1083"/>
      <c r="Q204" s="1559"/>
      <c r="R204" s="1559"/>
      <c r="S204" s="1083"/>
      <c r="T204" s="1083"/>
      <c r="U204" s="1083"/>
      <c r="V204" s="1083"/>
      <c r="W204" s="1559"/>
      <c r="X204" s="1083"/>
      <c r="Y204" s="1083"/>
      <c r="Z204" s="480"/>
      <c r="AA204" s="1083"/>
      <c r="AB204" s="1083"/>
      <c r="AC204" s="1083"/>
      <c r="AD204" s="1083"/>
      <c r="AE204" s="1083"/>
      <c r="AF204" s="1555"/>
      <c r="AG204" s="502"/>
      <c r="AH204" s="502"/>
      <c r="AI204" s="502"/>
      <c r="AJ204" s="502"/>
      <c r="AK204" s="1564">
        <v>11</v>
      </c>
    </row>
    <row r="205" spans="1:37" ht="11.45" customHeight="1">
      <c r="AK205" s="1554">
        <v>11</v>
      </c>
    </row>
    <row r="206" spans="1:37" ht="11.45" customHeight="1">
      <c r="AK206" s="1554">
        <v>11</v>
      </c>
    </row>
    <row r="207" spans="1:37" ht="11.45" customHeight="1">
      <c r="AK207" s="1554">
        <v>11</v>
      </c>
    </row>
    <row r="208" spans="1:37" ht="11.45" customHeight="1">
      <c r="A208" s="917"/>
      <c r="B208" s="1554"/>
      <c r="D208" s="1554"/>
      <c r="P208" s="1554"/>
      <c r="S208" s="1554"/>
      <c r="T208" s="1554"/>
      <c r="U208" s="1554"/>
      <c r="V208" s="1554"/>
      <c r="X208" s="1554"/>
      <c r="Y208" s="1554"/>
      <c r="Z208" s="1554"/>
      <c r="AA208" s="1554"/>
      <c r="AB208" s="1554"/>
      <c r="AC208" s="1554"/>
      <c r="AD208" s="1554"/>
      <c r="AE208" s="1554"/>
      <c r="AF208" s="1554"/>
      <c r="AG208" s="1554"/>
      <c r="AH208" s="1554"/>
      <c r="AI208" s="1554"/>
      <c r="AJ208" s="1554"/>
      <c r="AK208" s="1554">
        <v>11</v>
      </c>
    </row>
    <row r="209" spans="1:37" ht="11.45" customHeight="1">
      <c r="A209" s="917"/>
      <c r="B209" s="1554"/>
      <c r="D209" s="1554"/>
      <c r="P209" s="1554"/>
      <c r="S209" s="1554"/>
      <c r="T209" s="1554"/>
      <c r="U209" s="1554"/>
      <c r="V209" s="1554"/>
      <c r="X209" s="1554"/>
      <c r="Y209" s="1554"/>
      <c r="Z209" s="1554"/>
      <c r="AA209" s="1554"/>
      <c r="AB209" s="1554"/>
      <c r="AC209" s="1554"/>
      <c r="AD209" s="1554"/>
      <c r="AE209" s="1554"/>
      <c r="AF209" s="1554"/>
      <c r="AG209" s="1554"/>
      <c r="AH209" s="1554"/>
      <c r="AI209" s="1554"/>
      <c r="AJ209" s="1554"/>
      <c r="AK209" s="1554">
        <v>11</v>
      </c>
    </row>
    <row r="210" spans="1:37" ht="11.45" customHeight="1">
      <c r="A210" s="917"/>
      <c r="B210" s="1554"/>
      <c r="D210" s="1554"/>
      <c r="P210" s="1554"/>
      <c r="S210" s="1554"/>
      <c r="T210" s="1554"/>
      <c r="U210" s="1554"/>
      <c r="V210" s="1554"/>
      <c r="X210" s="1554"/>
      <c r="Y210" s="1554"/>
      <c r="Z210" s="1554"/>
      <c r="AA210" s="1554"/>
      <c r="AB210" s="1554"/>
      <c r="AC210" s="1554"/>
      <c r="AD210" s="1554"/>
      <c r="AE210" s="1554"/>
      <c r="AF210" s="1554"/>
      <c r="AG210" s="1554"/>
      <c r="AH210" s="1554"/>
      <c r="AI210" s="1554"/>
      <c r="AJ210" s="1554"/>
      <c r="AK210" s="1554">
        <v>11</v>
      </c>
    </row>
    <row r="211" spans="1:37" ht="11.45" customHeight="1">
      <c r="A211" s="917"/>
      <c r="B211" s="1554"/>
      <c r="D211" s="1554"/>
      <c r="P211" s="1554"/>
      <c r="S211" s="1554"/>
      <c r="T211" s="1554"/>
      <c r="U211" s="1554"/>
      <c r="V211" s="1554"/>
      <c r="X211" s="1554"/>
      <c r="Y211" s="1554"/>
      <c r="Z211" s="1554"/>
      <c r="AA211" s="1554"/>
      <c r="AB211" s="1554"/>
      <c r="AC211" s="1554"/>
      <c r="AD211" s="1554"/>
      <c r="AE211" s="1554"/>
      <c r="AF211" s="1554"/>
      <c r="AG211" s="1554"/>
      <c r="AH211" s="1554"/>
      <c r="AI211" s="1554"/>
      <c r="AJ211" s="1554"/>
      <c r="AK211" s="1554">
        <v>11</v>
      </c>
    </row>
    <row r="212" spans="1:37" ht="11.45" customHeight="1">
      <c r="A212" s="917"/>
      <c r="B212" s="1554"/>
      <c r="D212" s="1554"/>
      <c r="P212" s="1554"/>
      <c r="S212" s="1554"/>
      <c r="T212" s="1554"/>
      <c r="U212" s="1554"/>
      <c r="V212" s="1554"/>
      <c r="X212" s="1554"/>
      <c r="Y212" s="1554"/>
      <c r="Z212" s="1554"/>
      <c r="AA212" s="1554"/>
      <c r="AB212" s="1554"/>
      <c r="AC212" s="1554"/>
      <c r="AD212" s="1554"/>
      <c r="AE212" s="1554"/>
      <c r="AF212" s="1554"/>
      <c r="AG212" s="1554"/>
      <c r="AH212" s="1554"/>
      <c r="AI212" s="1554"/>
      <c r="AJ212" s="1554"/>
      <c r="AK212" s="1554">
        <v>11</v>
      </c>
    </row>
    <row r="213" spans="1:37" ht="11.45" customHeight="1">
      <c r="A213" s="917"/>
      <c r="B213" s="1554"/>
      <c r="D213" s="1554"/>
      <c r="P213" s="1554"/>
      <c r="S213" s="1554"/>
      <c r="T213" s="1554"/>
      <c r="U213" s="1554"/>
      <c r="V213" s="1554"/>
      <c r="X213" s="1554"/>
      <c r="Y213" s="1554"/>
      <c r="Z213" s="1554"/>
      <c r="AA213" s="1554"/>
      <c r="AB213" s="1554"/>
      <c r="AC213" s="1554"/>
      <c r="AD213" s="1554"/>
      <c r="AE213" s="1554"/>
      <c r="AF213" s="1554"/>
      <c r="AG213" s="1554"/>
      <c r="AH213" s="1554"/>
      <c r="AI213" s="1554"/>
      <c r="AJ213" s="1554"/>
      <c r="AK213" s="1554">
        <v>11</v>
      </c>
    </row>
    <row r="214" spans="1:37" ht="11.45" customHeight="1">
      <c r="A214" s="917"/>
      <c r="B214" s="1554"/>
      <c r="D214" s="1554"/>
      <c r="P214" s="1554"/>
      <c r="S214" s="1554"/>
      <c r="T214" s="1554"/>
      <c r="U214" s="1554"/>
      <c r="V214" s="1554"/>
      <c r="X214" s="1554"/>
      <c r="Y214" s="1554"/>
      <c r="Z214" s="1554"/>
      <c r="AA214" s="1554"/>
      <c r="AB214" s="1554"/>
      <c r="AC214" s="1554"/>
      <c r="AD214" s="1554"/>
      <c r="AE214" s="1554"/>
      <c r="AF214" s="1554"/>
      <c r="AG214" s="1554"/>
      <c r="AH214" s="1554"/>
      <c r="AI214" s="1554"/>
      <c r="AJ214" s="1554"/>
      <c r="AK214" s="1554">
        <v>11</v>
      </c>
    </row>
    <row r="215" spans="1:37" ht="11.45" customHeight="1">
      <c r="A215" s="917"/>
      <c r="B215" s="1554"/>
      <c r="D215" s="1554"/>
      <c r="P215" s="1554"/>
      <c r="S215" s="1554"/>
      <c r="T215" s="1554"/>
      <c r="U215" s="1554"/>
      <c r="V215" s="1554"/>
      <c r="X215" s="1554"/>
      <c r="Y215" s="1554"/>
      <c r="Z215" s="1554"/>
      <c r="AA215" s="1554"/>
      <c r="AB215" s="1554"/>
      <c r="AC215" s="1554"/>
      <c r="AD215" s="1554"/>
      <c r="AE215" s="1554"/>
      <c r="AF215" s="1554"/>
      <c r="AG215" s="1554"/>
      <c r="AH215" s="1554"/>
      <c r="AI215" s="1554"/>
      <c r="AJ215" s="1554"/>
      <c r="AK215" s="1554">
        <v>11</v>
      </c>
    </row>
    <row r="216" spans="1:37" ht="11.45" customHeight="1">
      <c r="A216" s="917"/>
      <c r="B216" s="1554"/>
      <c r="D216" s="1554"/>
      <c r="P216" s="1554"/>
      <c r="S216" s="1554"/>
      <c r="T216" s="1554"/>
      <c r="U216" s="1554"/>
      <c r="V216" s="1554"/>
      <c r="X216" s="1554"/>
      <c r="Y216" s="1554"/>
      <c r="Z216" s="1554"/>
      <c r="AA216" s="1554"/>
      <c r="AB216" s="1554"/>
      <c r="AC216" s="1554"/>
      <c r="AD216" s="1554"/>
      <c r="AE216" s="1554"/>
      <c r="AF216" s="1554"/>
      <c r="AG216" s="1554"/>
      <c r="AH216" s="1554"/>
      <c r="AI216" s="1554"/>
      <c r="AJ216" s="1554"/>
      <c r="AK216" s="1554">
        <v>11</v>
      </c>
    </row>
    <row r="217" spans="1:37" ht="11.45" customHeight="1">
      <c r="A217" s="917"/>
      <c r="B217" s="1554"/>
      <c r="D217" s="1554"/>
      <c r="P217" s="1554"/>
      <c r="S217" s="1554"/>
      <c r="T217" s="1554"/>
      <c r="U217" s="1554"/>
      <c r="V217" s="1554"/>
      <c r="X217" s="1554"/>
      <c r="Y217" s="1554"/>
      <c r="Z217" s="1554"/>
      <c r="AA217" s="1554"/>
      <c r="AB217" s="1554"/>
      <c r="AC217" s="1554"/>
      <c r="AD217" s="1554"/>
      <c r="AE217" s="1554"/>
      <c r="AF217" s="1554"/>
      <c r="AG217" s="1554"/>
      <c r="AH217" s="1554"/>
      <c r="AI217" s="1554"/>
      <c r="AJ217" s="1554"/>
      <c r="AK217" s="1554">
        <v>11</v>
      </c>
    </row>
    <row r="218" spans="1:37" ht="11.45" customHeight="1">
      <c r="A218" s="917"/>
      <c r="B218" s="1554"/>
      <c r="D218" s="1554"/>
      <c r="P218" s="1554"/>
      <c r="S218" s="1554"/>
      <c r="T218" s="1554"/>
      <c r="U218" s="1554"/>
      <c r="V218" s="1554"/>
      <c r="X218" s="1554"/>
      <c r="Y218" s="1554"/>
      <c r="Z218" s="1554"/>
      <c r="AA218" s="1554"/>
      <c r="AB218" s="1554"/>
      <c r="AC218" s="1554"/>
      <c r="AD218" s="1554"/>
      <c r="AE218" s="1554"/>
      <c r="AF218" s="1554"/>
      <c r="AG218" s="1554"/>
      <c r="AH218" s="1554"/>
      <c r="AI218" s="1554"/>
      <c r="AJ218" s="1554"/>
      <c r="AK218" s="1554">
        <v>11</v>
      </c>
    </row>
    <row r="219" spans="1:37" ht="11.25" hidden="1" customHeight="1">
      <c r="A219" s="914" t="s">
        <v>83</v>
      </c>
      <c r="B219" s="1083">
        <v>0</v>
      </c>
      <c r="C219" s="1559">
        <v>0</v>
      </c>
      <c r="D219" s="1558">
        <v>3</v>
      </c>
      <c r="E219" s="1554">
        <v>7</v>
      </c>
      <c r="F219" s="1554">
        <v>56</v>
      </c>
      <c r="G219" s="1554">
        <v>10</v>
      </c>
      <c r="H219" s="1554">
        <v>0</v>
      </c>
      <c r="I219" s="1554">
        <v>40</v>
      </c>
      <c r="J219" s="1558">
        <v>0</v>
      </c>
      <c r="K219" s="1558">
        <v>0</v>
      </c>
      <c r="L219" s="1558">
        <v>0</v>
      </c>
      <c r="M219" s="1558">
        <v>0</v>
      </c>
      <c r="N219" s="1558">
        <v>0</v>
      </c>
      <c r="O219" s="1554">
        <v>102</v>
      </c>
      <c r="P219" s="1083">
        <v>9</v>
      </c>
      <c r="Q219" s="1559">
        <v>5</v>
      </c>
      <c r="R219" s="1559">
        <v>3</v>
      </c>
      <c r="S219" s="1083">
        <v>3</v>
      </c>
      <c r="T219" s="1083">
        <v>3</v>
      </c>
      <c r="U219" s="1083">
        <v>3</v>
      </c>
      <c r="V219" s="1083">
        <v>3</v>
      </c>
      <c r="W219" s="1559">
        <v>10</v>
      </c>
      <c r="X219" s="1083">
        <v>34</v>
      </c>
      <c r="Y219" s="1083">
        <v>9</v>
      </c>
      <c r="Z219" s="480">
        <v>8</v>
      </c>
      <c r="AA219" s="1083">
        <v>8</v>
      </c>
      <c r="AB219" s="1083">
        <v>8</v>
      </c>
      <c r="AC219" s="1083">
        <v>8</v>
      </c>
      <c r="AD219" s="1083">
        <v>8</v>
      </c>
      <c r="AE219" s="1083">
        <v>8</v>
      </c>
      <c r="AF219" s="1555">
        <v>8</v>
      </c>
      <c r="AG219" s="1555">
        <v>8</v>
      </c>
      <c r="AH219" s="1555">
        <v>8</v>
      </c>
      <c r="AI219" s="1555">
        <v>8</v>
      </c>
      <c r="AJ219" s="1555">
        <v>8</v>
      </c>
      <c r="AK219" s="1554">
        <v>11</v>
      </c>
    </row>
  </sheetData>
  <sheetProtection formatColumns="0" formatRows="0" insertRows="0" deleteColumns="0" deleteRows="0" sort="0" autoFilter="0"/>
  <mergeCells count="7">
    <mergeCell ref="E6:I6"/>
    <mergeCell ref="E7:I7"/>
    <mergeCell ref="F10:G10"/>
    <mergeCell ref="O10:O14"/>
    <mergeCell ref="F11:G11"/>
    <mergeCell ref="F12:G12"/>
    <mergeCell ref="E13:G13"/>
  </mergeCells>
  <dataValidations count="5">
    <dataValidation type="decimal" allowBlank="1" showErrorMessage="1" errorTitle="Ошибка" error="Допускается ввод только действительных чисел!" sqref="H42:N44">
      <formula1>-9.99999999999999E+37</formula1>
      <formula2>9.99999999999999E+37</formula2>
    </dataValidation>
    <dataValidation type="decimal" allowBlank="1" showErrorMessage="1" errorTitle="Ошибка" error="Допускается ввод только действительных чисел!" sqref="H38:N39">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N45">
      <formula1>900</formula1>
    </dataValidation>
    <dataValidation type="decimal" allowBlank="1" showErrorMessage="1" errorTitle="Ошибка" error="Допускается ввод только неотрицательных чисел!" sqref="H40:N41 H2:N2 H15:N15 H17:N32 H46:N48 H35:N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N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15"/>
  <sheetViews>
    <sheetView showGridLines="0" zoomScale="90" workbookViewId="0">
      <pane xSplit="8" ySplit="14" topLeftCell="N15" activePane="bottomRight" state="frozen"/>
      <selection pane="topRight" activeCell="I1" sqref="I1"/>
      <selection pane="bottomLeft" activeCell="A15" sqref="A15"/>
      <selection pane="bottomRight" activeCell="N9" sqref="N9"/>
    </sheetView>
  </sheetViews>
  <sheetFormatPr defaultColWidth="9.140625" defaultRowHeight="11.25" customHeight="1"/>
  <cols>
    <col min="1" max="1" width="10.7109375" style="914" hidden="1" customWidth="1"/>
    <col min="2" max="2" width="16.85546875" style="1289" hidden="1" customWidth="1"/>
    <col min="3" max="3" width="5.5703125" style="1565" hidden="1" customWidth="1"/>
    <col min="4" max="4" width="3" style="1558" customWidth="1"/>
    <col min="5" max="5" width="7" style="1558" customWidth="1"/>
    <col min="6" max="6" width="54" style="1558" customWidth="1"/>
    <col min="7" max="7" width="10" style="1558" customWidth="1"/>
    <col min="8" max="8" width="40.7109375" style="1558" hidden="1" customWidth="1"/>
    <col min="9" max="9" width="40" style="1558" customWidth="1"/>
    <col min="10" max="14" width="40.7109375" style="1558" customWidth="1"/>
    <col min="15" max="15" width="102" style="1558" customWidth="1"/>
    <col min="16" max="16" width="9" style="1289" customWidth="1"/>
    <col min="17" max="17" width="5" style="1565" customWidth="1"/>
    <col min="18" max="18" width="3" style="1565" customWidth="1"/>
    <col min="19" max="22" width="3" style="1289" customWidth="1"/>
    <col min="23" max="23" width="10" style="1565" customWidth="1"/>
    <col min="24" max="24" width="34" style="1289" customWidth="1"/>
    <col min="25" max="25" width="9" style="1289" customWidth="1"/>
    <col min="26" max="26" width="8" style="671" customWidth="1"/>
    <col min="27" max="31" width="8" style="1289" customWidth="1"/>
    <col min="32" max="36" width="8" style="1555" customWidth="1"/>
    <col min="37" max="37" width="9.140625" style="1558" hidden="1"/>
  </cols>
  <sheetData>
    <row r="1" spans="1:37" s="1289" customFormat="1" ht="22.5" hidden="1" customHeight="1">
      <c r="A1" s="914"/>
      <c r="C1" s="1559"/>
      <c r="D1" s="473"/>
      <c r="H1" s="1083">
        <v>4</v>
      </c>
      <c r="I1" s="1083">
        <v>4</v>
      </c>
      <c r="J1" s="1289">
        <v>4</v>
      </c>
      <c r="K1" s="1289">
        <v>4</v>
      </c>
      <c r="L1" s="1289">
        <v>4</v>
      </c>
      <c r="M1" s="1289" t="s">
        <v>91</v>
      </c>
      <c r="N1" s="1289">
        <v>4</v>
      </c>
      <c r="Q1" s="1559"/>
      <c r="R1" s="1559"/>
      <c r="W1" s="1559"/>
      <c r="AK1" s="1083" t="s">
        <v>14</v>
      </c>
    </row>
    <row r="2" spans="1:37" s="1289" customFormat="1" ht="22.5" hidden="1" customHeight="1">
      <c r="A2" s="914"/>
      <c r="C2" s="1559"/>
      <c r="D2" s="474"/>
      <c r="E2" s="1581"/>
      <c r="F2" s="476"/>
      <c r="G2" s="1580" t="s">
        <v>569</v>
      </c>
      <c r="H2" s="477"/>
      <c r="I2" s="477"/>
      <c r="J2" s="686"/>
      <c r="K2" s="686"/>
      <c r="L2" s="686"/>
      <c r="M2" s="686"/>
      <c r="N2" s="686"/>
      <c r="O2" s="478" t="s">
        <v>572</v>
      </c>
      <c r="P2" s="479"/>
      <c r="Q2" s="1559"/>
      <c r="R2" s="1559"/>
      <c r="W2" s="1559"/>
      <c r="Z2" s="480"/>
      <c r="AF2" s="1555"/>
      <c r="AG2" s="1555"/>
      <c r="AH2" s="1555"/>
      <c r="AI2" s="1555"/>
      <c r="AJ2" s="1555"/>
      <c r="AK2" s="1083">
        <v>0</v>
      </c>
    </row>
    <row r="3" spans="1:37" ht="11.25" hidden="1" customHeight="1">
      <c r="AK3" s="1554">
        <v>0</v>
      </c>
    </row>
    <row r="4" spans="1:37" s="1555" customFormat="1" ht="11.25" hidden="1" customHeight="1">
      <c r="A4" s="914"/>
      <c r="B4" s="1083"/>
      <c r="C4" s="1559"/>
      <c r="D4" s="298"/>
      <c r="O4" s="1555">
        <v>4</v>
      </c>
      <c r="P4" s="1083"/>
      <c r="Q4" s="1559"/>
      <c r="R4" s="1559"/>
      <c r="S4" s="1083"/>
      <c r="T4" s="1083"/>
      <c r="U4" s="1083"/>
      <c r="V4" s="1083"/>
      <c r="W4" s="1559"/>
      <c r="X4" s="1083"/>
      <c r="Y4" s="1083"/>
      <c r="Z4" s="480"/>
      <c r="AA4" s="1083"/>
      <c r="AB4" s="1083"/>
      <c r="AC4" s="1083"/>
      <c r="AD4" s="1083"/>
      <c r="AE4" s="1083"/>
      <c r="AK4" s="1555">
        <v>0</v>
      </c>
    </row>
    <row r="5" spans="1:37" ht="11.45" customHeight="1">
      <c r="AK5" s="1554">
        <v>11</v>
      </c>
    </row>
    <row r="6" spans="1:37" ht="33.75" customHeight="1">
      <c r="E6" s="2490" t="s">
        <v>926</v>
      </c>
      <c r="F6" s="2490"/>
      <c r="G6" s="2490"/>
      <c r="H6" s="2490"/>
      <c r="I6" s="2490"/>
      <c r="J6" s="2017"/>
      <c r="K6" s="2017"/>
      <c r="L6" s="2017"/>
      <c r="M6" s="2017"/>
      <c r="N6" s="2017"/>
      <c r="O6" s="492"/>
      <c r="AK6" s="1554">
        <v>32</v>
      </c>
    </row>
    <row r="7" spans="1:37" ht="25.15" customHeight="1">
      <c r="E7" s="2436" t="str">
        <f>IF(org=0,"Не определено",org)</f>
        <v>ПАО "ТГК-2"</v>
      </c>
      <c r="F7" s="2436"/>
      <c r="G7" s="2436"/>
      <c r="H7" s="2436"/>
      <c r="I7" s="2436"/>
      <c r="J7" s="2018"/>
      <c r="K7" s="2018"/>
      <c r="L7" s="2018"/>
      <c r="M7" s="2018"/>
      <c r="N7" s="2018"/>
      <c r="AK7" s="1554">
        <v>24</v>
      </c>
    </row>
    <row r="8" spans="1:37" ht="11.45" customHeight="1">
      <c r="E8" s="1059"/>
      <c r="F8" s="1059"/>
      <c r="G8" s="1059"/>
      <c r="H8" s="1059"/>
      <c r="I8" s="1059"/>
      <c r="J8" s="1060" t="s">
        <v>22</v>
      </c>
      <c r="K8" s="1060" t="s">
        <v>22</v>
      </c>
      <c r="L8" s="1060" t="s">
        <v>22</v>
      </c>
      <c r="M8" s="1060" t="s">
        <v>22</v>
      </c>
      <c r="N8" s="1060" t="s">
        <v>22</v>
      </c>
      <c r="AK8" s="1554">
        <v>11</v>
      </c>
    </row>
    <row r="9" spans="1:37" s="1565" customFormat="1" ht="1.1499999999999999" customHeight="1">
      <c r="A9" s="1090"/>
      <c r="H9" s="817"/>
      <c r="I9" s="817" t="s">
        <v>129</v>
      </c>
      <c r="J9" s="817" t="s">
        <v>135</v>
      </c>
      <c r="K9" s="817" t="s">
        <v>137</v>
      </c>
      <c r="L9" s="817" t="s">
        <v>140</v>
      </c>
      <c r="M9" s="817" t="s">
        <v>139</v>
      </c>
      <c r="N9" s="817" t="s">
        <v>133</v>
      </c>
      <c r="AK9" s="1559">
        <v>1</v>
      </c>
    </row>
    <row r="10" spans="1:37" ht="11.45" customHeight="1">
      <c r="E10" s="647"/>
      <c r="F10" s="2591" t="s">
        <v>119</v>
      </c>
      <c r="G10" s="2592"/>
      <c r="H10" s="1582" t="str">
        <f t="shared" ref="H10:N10" si="0">IF(H9="","",INDEX(DIFFERENTIATION_UNMERGE_VD,MATCH(H9,DIFFERENTIATION_ID_DIFF,0)))</f>
        <v/>
      </c>
      <c r="I10" s="1582" t="str">
        <f t="shared" si="0"/>
        <v>Производство тепловой энергии. Комбинированная выработка с уст. мощностью производства электрической энергии 25 МВт и более</v>
      </c>
      <c r="J10" s="2030" t="str">
        <f t="shared" si="0"/>
        <v>Производство тепловой энергии. Некомбинированная выработка</v>
      </c>
      <c r="K10" s="2030" t="str">
        <f t="shared" si="0"/>
        <v>Передача. Тепловая энергия; Сбыт. Тепловая энергия</v>
      </c>
      <c r="L10" s="2030" t="str">
        <f t="shared" si="0"/>
        <v>Производство. Теплоноситель; Сбыт. Теплоноситель</v>
      </c>
      <c r="M10" s="2030" t="str">
        <f t="shared" si="0"/>
        <v>Передача. Тепловая энергия; Сбыт. Тепловая энергия</v>
      </c>
      <c r="N10" s="2030" t="str">
        <f t="shared" si="0"/>
        <v>Производство тепловой энергии. Комбинированная выработка с уст. мощностью производства электрической энергии 25 МВт и более</v>
      </c>
      <c r="O10" s="2371" t="s">
        <v>320</v>
      </c>
      <c r="AK10" s="1554">
        <v>11</v>
      </c>
    </row>
    <row r="11" spans="1:37" ht="11.45" customHeight="1">
      <c r="E11" s="647"/>
      <c r="F11" s="2591" t="s">
        <v>581</v>
      </c>
      <c r="G11" s="2592"/>
      <c r="H11" s="1582" t="str">
        <f t="shared" ref="H11:N11" si="1">IF(H9="","",INDEX(DIFFERENTIATION_UNMERGE_AREA,MATCH(H9,DIFFERENTIATION_ID_DIFF,0)))</f>
        <v/>
      </c>
      <c r="I11" s="1582" t="str">
        <f t="shared" si="1"/>
        <v>Территория 1</v>
      </c>
      <c r="J11" s="2030" t="str">
        <f t="shared" si="1"/>
        <v>Территория 1</v>
      </c>
      <c r="K11" s="2030" t="str">
        <f t="shared" si="1"/>
        <v>Территория 1</v>
      </c>
      <c r="L11" s="2030" t="str">
        <f t="shared" si="1"/>
        <v>Территория 2</v>
      </c>
      <c r="M11" s="2030" t="str">
        <f t="shared" si="1"/>
        <v>Территория 2</v>
      </c>
      <c r="N11" s="2030" t="str">
        <f t="shared" si="1"/>
        <v>Территория 2</v>
      </c>
      <c r="O11" s="2371"/>
      <c r="AK11" s="1554">
        <v>11</v>
      </c>
    </row>
    <row r="12" spans="1:37" ht="11.25" hidden="1" customHeight="1">
      <c r="E12" s="1585"/>
      <c r="F12" s="2627" t="s">
        <v>582</v>
      </c>
      <c r="G12" s="2628"/>
      <c r="H12" s="1586" t="str">
        <f t="shared" ref="H12:N12" si="2">IF(H9="","",INDEX(DIFFERENTIATION_UNMERGE_SYSTEM,MATCH(H9,DIFFERENTIATION_ID_DIFF,0)))</f>
        <v/>
      </c>
      <c r="I12" s="1586" t="str">
        <f t="shared" si="2"/>
        <v>без дифференциации</v>
      </c>
      <c r="J12" s="1586" t="str">
        <f t="shared" si="2"/>
        <v>без дифференциации</v>
      </c>
      <c r="K12" s="1586" t="str">
        <f t="shared" si="2"/>
        <v>без дифференциации</v>
      </c>
      <c r="L12" s="1586" t="str">
        <f t="shared" si="2"/>
        <v>без дифференциации</v>
      </c>
      <c r="M12" s="1586" t="str">
        <f t="shared" si="2"/>
        <v>без дифференциации</v>
      </c>
      <c r="N12" s="1586" t="str">
        <f t="shared" si="2"/>
        <v>без дифференциации</v>
      </c>
      <c r="O12" s="2371"/>
      <c r="AK12" s="1554">
        <v>0</v>
      </c>
    </row>
    <row r="13" spans="1:37" ht="11.45" customHeight="1">
      <c r="E13" s="2593" t="s">
        <v>319</v>
      </c>
      <c r="F13" s="2594"/>
      <c r="G13" s="2594"/>
      <c r="H13" s="1579"/>
      <c r="I13" s="1579"/>
      <c r="J13" s="2027"/>
      <c r="K13" s="2027"/>
      <c r="L13" s="2027"/>
      <c r="M13" s="2027"/>
      <c r="N13" s="2027"/>
      <c r="O13" s="2371"/>
      <c r="AK13" s="1554">
        <v>11</v>
      </c>
    </row>
    <row r="14" spans="1:37" ht="24" customHeight="1">
      <c r="E14" s="1580" t="s">
        <v>89</v>
      </c>
      <c r="F14" s="1583" t="s">
        <v>321</v>
      </c>
      <c r="G14" s="1583" t="s">
        <v>583</v>
      </c>
      <c r="H14" s="1583" t="s">
        <v>322</v>
      </c>
      <c r="I14" s="1583" t="s">
        <v>322</v>
      </c>
      <c r="J14" s="2024" t="s">
        <v>322</v>
      </c>
      <c r="K14" s="2024" t="s">
        <v>322</v>
      </c>
      <c r="L14" s="2024" t="s">
        <v>322</v>
      </c>
      <c r="M14" s="2024" t="s">
        <v>322</v>
      </c>
      <c r="N14" s="2024" t="s">
        <v>322</v>
      </c>
      <c r="O14" s="2371"/>
      <c r="AK14" s="1554">
        <v>23</v>
      </c>
    </row>
    <row r="15" spans="1:37" ht="19.899999999999999" customHeight="1">
      <c r="D15" s="1561"/>
      <c r="E15" s="1553" t="s">
        <v>100</v>
      </c>
      <c r="F15" s="643" t="s">
        <v>927</v>
      </c>
      <c r="G15" s="1580" t="s">
        <v>569</v>
      </c>
      <c r="H15" s="493"/>
      <c r="I15" s="493"/>
      <c r="J15" s="493"/>
      <c r="K15" s="493"/>
      <c r="L15" s="493"/>
      <c r="M15" s="493"/>
      <c r="N15" s="493"/>
      <c r="O15" s="226" t="s">
        <v>928</v>
      </c>
      <c r="P15" s="479" t="s">
        <v>776</v>
      </c>
      <c r="AK15" s="1554">
        <v>19</v>
      </c>
    </row>
    <row r="16" spans="1:37" ht="24" customHeight="1">
      <c r="D16" s="1561"/>
      <c r="E16" s="1553" t="s">
        <v>103</v>
      </c>
      <c r="F16" s="2001" t="s">
        <v>929</v>
      </c>
      <c r="G16" s="1580" t="s">
        <v>569</v>
      </c>
      <c r="H16" s="494">
        <f t="shared" ref="H16:N16" si="3">SUM(H17,H20:H27)</f>
        <v>0</v>
      </c>
      <c r="I16" s="494">
        <f t="shared" si="3"/>
        <v>0</v>
      </c>
      <c r="J16" s="494">
        <f t="shared" si="3"/>
        <v>0</v>
      </c>
      <c r="K16" s="494">
        <f t="shared" si="3"/>
        <v>0</v>
      </c>
      <c r="L16" s="494">
        <f t="shared" si="3"/>
        <v>0</v>
      </c>
      <c r="M16" s="494">
        <f t="shared" si="3"/>
        <v>0</v>
      </c>
      <c r="N16" s="494">
        <f t="shared" si="3"/>
        <v>0</v>
      </c>
      <c r="O16" s="1998" t="s">
        <v>930</v>
      </c>
      <c r="P16" s="479" t="s">
        <v>776</v>
      </c>
      <c r="AK16" s="1554">
        <v>23</v>
      </c>
    </row>
    <row r="17" spans="1:37" ht="35.65" customHeight="1">
      <c r="D17" s="1561"/>
      <c r="E17" s="1587" t="s">
        <v>854</v>
      </c>
      <c r="F17" s="1589" t="s">
        <v>931</v>
      </c>
      <c r="G17" s="1577" t="s">
        <v>569</v>
      </c>
      <c r="H17" s="493"/>
      <c r="I17" s="493"/>
      <c r="J17" s="493"/>
      <c r="K17" s="493"/>
      <c r="L17" s="493"/>
      <c r="M17" s="493"/>
      <c r="N17" s="493"/>
      <c r="O17" s="226" t="s">
        <v>932</v>
      </c>
      <c r="P17" s="479"/>
      <c r="AK17" s="1554">
        <v>34</v>
      </c>
    </row>
    <row r="18" spans="1:37" ht="19.899999999999999" customHeight="1">
      <c r="D18" s="1561"/>
      <c r="E18" s="1587" t="s">
        <v>857</v>
      </c>
      <c r="F18" s="1590" t="s">
        <v>933</v>
      </c>
      <c r="G18" s="1577" t="s">
        <v>569</v>
      </c>
      <c r="H18" s="493"/>
      <c r="I18" s="493"/>
      <c r="J18" s="493"/>
      <c r="K18" s="493"/>
      <c r="L18" s="493"/>
      <c r="M18" s="493"/>
      <c r="N18" s="493"/>
      <c r="O18" s="226"/>
      <c r="P18" s="479"/>
      <c r="AK18" s="1554">
        <v>19</v>
      </c>
    </row>
    <row r="19" spans="1:37" ht="24" customHeight="1">
      <c r="D19" s="1561"/>
      <c r="E19" s="1587" t="s">
        <v>860</v>
      </c>
      <c r="F19" s="1590" t="s">
        <v>934</v>
      </c>
      <c r="G19" s="1577" t="s">
        <v>569</v>
      </c>
      <c r="H19" s="493"/>
      <c r="I19" s="493"/>
      <c r="J19" s="493"/>
      <c r="K19" s="493"/>
      <c r="L19" s="493"/>
      <c r="M19" s="493"/>
      <c r="N19" s="493"/>
      <c r="O19" s="226"/>
      <c r="P19" s="479"/>
      <c r="AK19" s="1554">
        <v>23</v>
      </c>
    </row>
    <row r="20" spans="1:37" ht="35.65" customHeight="1">
      <c r="D20" s="1561"/>
      <c r="E20" s="1587" t="s">
        <v>326</v>
      </c>
      <c r="F20" s="1589" t="s">
        <v>935</v>
      </c>
      <c r="G20" s="1577" t="s">
        <v>569</v>
      </c>
      <c r="H20" s="493"/>
      <c r="I20" s="493"/>
      <c r="J20" s="493"/>
      <c r="K20" s="493"/>
      <c r="L20" s="493"/>
      <c r="M20" s="493"/>
      <c r="N20" s="493"/>
      <c r="O20" s="226"/>
      <c r="P20" s="479"/>
      <c r="AK20" s="1554">
        <v>34</v>
      </c>
    </row>
    <row r="21" spans="1:37" ht="48.2" customHeight="1">
      <c r="D21" s="1561"/>
      <c r="E21" s="1587" t="s">
        <v>329</v>
      </c>
      <c r="F21" s="1589" t="s">
        <v>936</v>
      </c>
      <c r="G21" s="1577" t="s">
        <v>569</v>
      </c>
      <c r="H21" s="493"/>
      <c r="I21" s="493"/>
      <c r="J21" s="493"/>
      <c r="K21" s="493"/>
      <c r="L21" s="493"/>
      <c r="M21" s="493"/>
      <c r="N21" s="493"/>
      <c r="O21" s="226"/>
      <c r="P21" s="479"/>
      <c r="AK21" s="1554">
        <v>46</v>
      </c>
    </row>
    <row r="22" spans="1:37" ht="60" customHeight="1">
      <c r="D22" s="1561"/>
      <c r="E22" s="1587" t="s">
        <v>874</v>
      </c>
      <c r="F22" s="1589" t="s">
        <v>937</v>
      </c>
      <c r="G22" s="1577" t="s">
        <v>569</v>
      </c>
      <c r="H22" s="493"/>
      <c r="I22" s="493"/>
      <c r="J22" s="493"/>
      <c r="K22" s="493"/>
      <c r="L22" s="493"/>
      <c r="M22" s="493"/>
      <c r="N22" s="493"/>
      <c r="O22" s="226"/>
      <c r="P22" s="479"/>
      <c r="AK22" s="1554">
        <v>57</v>
      </c>
    </row>
    <row r="23" spans="1:37" ht="35.65" customHeight="1">
      <c r="D23" s="1561"/>
      <c r="E23" s="1587" t="s">
        <v>881</v>
      </c>
      <c r="F23" s="1589" t="s">
        <v>938</v>
      </c>
      <c r="G23" s="1577" t="s">
        <v>569</v>
      </c>
      <c r="H23" s="493"/>
      <c r="I23" s="493"/>
      <c r="J23" s="493"/>
      <c r="K23" s="493"/>
      <c r="L23" s="493"/>
      <c r="M23" s="493"/>
      <c r="N23" s="493"/>
      <c r="O23" s="226"/>
      <c r="P23" s="479"/>
      <c r="AK23" s="1554">
        <v>34</v>
      </c>
    </row>
    <row r="24" spans="1:37" ht="35.65" customHeight="1">
      <c r="D24" s="1561"/>
      <c r="E24" s="1587" t="s">
        <v>883</v>
      </c>
      <c r="F24" s="1589" t="s">
        <v>939</v>
      </c>
      <c r="G24" s="1577" t="s">
        <v>569</v>
      </c>
      <c r="H24" s="493"/>
      <c r="I24" s="493"/>
      <c r="J24" s="493"/>
      <c r="K24" s="493"/>
      <c r="L24" s="493"/>
      <c r="M24" s="493"/>
      <c r="N24" s="493"/>
      <c r="O24" s="226"/>
      <c r="P24" s="479"/>
      <c r="AK24" s="1554">
        <v>34</v>
      </c>
    </row>
    <row r="25" spans="1:37" ht="24" customHeight="1">
      <c r="D25" s="1561"/>
      <c r="E25" s="1587" t="s">
        <v>885</v>
      </c>
      <c r="F25" s="1589" t="s">
        <v>940</v>
      </c>
      <c r="G25" s="1577" t="s">
        <v>569</v>
      </c>
      <c r="H25" s="493"/>
      <c r="I25" s="493"/>
      <c r="J25" s="493"/>
      <c r="K25" s="493"/>
      <c r="L25" s="493"/>
      <c r="M25" s="493"/>
      <c r="N25" s="493"/>
      <c r="O25" s="226"/>
      <c r="P25" s="479"/>
      <c r="AK25" s="1554">
        <v>23</v>
      </c>
    </row>
    <row r="26" spans="1:37" ht="76.5" customHeight="1">
      <c r="D26" s="1561"/>
      <c r="E26" s="1587" t="s">
        <v>887</v>
      </c>
      <c r="F26" s="1589" t="s">
        <v>941</v>
      </c>
      <c r="G26" s="1577" t="s">
        <v>569</v>
      </c>
      <c r="H26" s="493"/>
      <c r="I26" s="493"/>
      <c r="J26" s="493"/>
      <c r="K26" s="493"/>
      <c r="L26" s="493"/>
      <c r="M26" s="493"/>
      <c r="N26" s="493"/>
      <c r="O26" s="226"/>
      <c r="P26" s="479"/>
      <c r="AK26" s="1554">
        <v>73</v>
      </c>
    </row>
    <row r="27" spans="1:37" s="1289" customFormat="1" ht="35.65" customHeight="1">
      <c r="A27" s="914"/>
      <c r="C27" s="1559"/>
      <c r="D27" s="1561"/>
      <c r="E27" s="1552" t="s">
        <v>891</v>
      </c>
      <c r="F27" s="1551" t="s">
        <v>942</v>
      </c>
      <c r="G27" s="1578" t="s">
        <v>569</v>
      </c>
      <c r="H27" s="515">
        <f t="shared" ref="H27:N27" si="4">SUM(H28:H29)</f>
        <v>0</v>
      </c>
      <c r="I27" s="515">
        <f t="shared" si="4"/>
        <v>0</v>
      </c>
      <c r="J27" s="515">
        <f t="shared" si="4"/>
        <v>0</v>
      </c>
      <c r="K27" s="515">
        <f t="shared" si="4"/>
        <v>0</v>
      </c>
      <c r="L27" s="515">
        <f t="shared" si="4"/>
        <v>0</v>
      </c>
      <c r="M27" s="515">
        <f t="shared" si="4"/>
        <v>0</v>
      </c>
      <c r="N27" s="515">
        <f t="shared" si="4"/>
        <v>0</v>
      </c>
      <c r="O27" s="226" t="s">
        <v>889</v>
      </c>
      <c r="P27" s="479"/>
      <c r="Q27" s="1559"/>
      <c r="R27" s="1559"/>
      <c r="W27" s="1559"/>
      <c r="Z27" s="480"/>
      <c r="AF27" s="1555"/>
      <c r="AG27" s="1555"/>
      <c r="AH27" s="1555"/>
      <c r="AI27" s="1555"/>
      <c r="AJ27" s="1555"/>
      <c r="AK27" s="1083">
        <v>34</v>
      </c>
    </row>
    <row r="28" spans="1:37" s="1565" customFormat="1" ht="1.1499999999999999" customHeight="1">
      <c r="A28" s="1090"/>
      <c r="D28" s="484"/>
      <c r="E28" s="731" t="str">
        <f>E27&amp;".0"</f>
        <v>2.9.0</v>
      </c>
      <c r="F28" s="918"/>
      <c r="G28" s="487"/>
      <c r="H28" s="919"/>
      <c r="I28" s="919"/>
      <c r="J28" s="919"/>
      <c r="K28" s="919"/>
      <c r="L28" s="919"/>
      <c r="M28" s="919"/>
      <c r="N28" s="919"/>
      <c r="O28" s="920"/>
      <c r="AK28" s="1559">
        <v>1</v>
      </c>
    </row>
    <row r="29" spans="1:37" s="1289" customFormat="1" ht="19.899999999999999" customHeight="1">
      <c r="A29" s="914"/>
      <c r="C29" s="1559"/>
      <c r="D29" s="1556"/>
      <c r="E29" s="506"/>
      <c r="F29" s="1588" t="s">
        <v>604</v>
      </c>
      <c r="G29" s="508"/>
      <c r="H29" s="509"/>
      <c r="I29" s="509"/>
      <c r="J29" s="2099"/>
      <c r="K29" s="2100"/>
      <c r="L29" s="2101"/>
      <c r="M29" s="2102"/>
      <c r="N29" s="2103"/>
      <c r="O29" s="238" t="s">
        <v>890</v>
      </c>
      <c r="P29" s="479"/>
      <c r="Q29" s="1559"/>
      <c r="R29" s="1559"/>
      <c r="W29" s="1559"/>
      <c r="Z29" s="480"/>
      <c r="AF29" s="1555"/>
      <c r="AG29" s="1555"/>
      <c r="AH29" s="1555"/>
      <c r="AI29" s="1555"/>
      <c r="AJ29" s="1555"/>
      <c r="AK29" s="1083">
        <v>19</v>
      </c>
    </row>
    <row r="30" spans="1:37" ht="76.5" customHeight="1">
      <c r="D30" s="1992"/>
      <c r="E30" s="1587" t="s">
        <v>943</v>
      </c>
      <c r="F30" s="2000" t="s">
        <v>898</v>
      </c>
      <c r="G30" s="1991" t="s">
        <v>569</v>
      </c>
      <c r="H30" s="493"/>
      <c r="I30" s="493"/>
      <c r="J30" s="493"/>
      <c r="K30" s="493"/>
      <c r="L30" s="493"/>
      <c r="M30" s="493"/>
      <c r="N30" s="493"/>
      <c r="O30" s="1998" t="s">
        <v>944</v>
      </c>
      <c r="P30" s="479"/>
      <c r="AK30" s="1554">
        <v>73</v>
      </c>
    </row>
    <row r="31" spans="1:37" s="1289" customFormat="1" ht="24" customHeight="1">
      <c r="A31" s="914"/>
      <c r="C31" s="1559"/>
      <c r="D31" s="1561"/>
      <c r="E31" s="1587" t="s">
        <v>91</v>
      </c>
      <c r="F31" s="1584" t="s">
        <v>945</v>
      </c>
      <c r="G31" s="1577" t="s">
        <v>569</v>
      </c>
      <c r="H31" s="493"/>
      <c r="I31" s="493"/>
      <c r="J31" s="493"/>
      <c r="K31" s="493"/>
      <c r="L31" s="493"/>
      <c r="M31" s="493"/>
      <c r="N31" s="493"/>
      <c r="O31" s="226"/>
      <c r="P31" s="479"/>
      <c r="Q31" s="1559"/>
      <c r="R31" s="1559"/>
      <c r="W31" s="1559"/>
      <c r="Z31" s="480"/>
      <c r="AF31" s="1555"/>
      <c r="AG31" s="1555"/>
      <c r="AH31" s="1555"/>
      <c r="AI31" s="1555"/>
      <c r="AJ31" s="1555"/>
      <c r="AK31" s="1083">
        <v>23</v>
      </c>
    </row>
    <row r="32" spans="1:37" s="1289" customFormat="1" ht="35.65" customHeight="1">
      <c r="A32" s="914"/>
      <c r="C32" s="1559"/>
      <c r="D32" s="511"/>
      <c r="E32" s="1587" t="s">
        <v>92</v>
      </c>
      <c r="F32" s="1584" t="s">
        <v>946</v>
      </c>
      <c r="G32" s="1577" t="s">
        <v>569</v>
      </c>
      <c r="H32" s="493"/>
      <c r="I32" s="493"/>
      <c r="J32" s="493"/>
      <c r="K32" s="493"/>
      <c r="L32" s="493"/>
      <c r="M32" s="493"/>
      <c r="N32" s="493"/>
      <c r="O32" s="226" t="s">
        <v>947</v>
      </c>
      <c r="P32" s="479"/>
      <c r="Q32" s="1559"/>
      <c r="R32" s="1559"/>
      <c r="W32" s="1559"/>
      <c r="Z32" s="480"/>
      <c r="AF32" s="1555"/>
      <c r="AG32" s="1555"/>
      <c r="AH32" s="1555"/>
      <c r="AI32" s="1555"/>
      <c r="AJ32" s="1555"/>
      <c r="AK32" s="1083">
        <v>34</v>
      </c>
    </row>
    <row r="33" spans="1:37" s="1289" customFormat="1" ht="24" customHeight="1">
      <c r="A33" s="914"/>
      <c r="C33" s="1559"/>
      <c r="D33" s="1561"/>
      <c r="E33" s="1587" t="s">
        <v>905</v>
      </c>
      <c r="F33" s="626" t="s">
        <v>909</v>
      </c>
      <c r="G33" s="1577" t="s">
        <v>569</v>
      </c>
      <c r="H33" s="493"/>
      <c r="I33" s="493"/>
      <c r="J33" s="493"/>
      <c r="K33" s="493"/>
      <c r="L33" s="493"/>
      <c r="M33" s="493"/>
      <c r="N33" s="493"/>
      <c r="O33" s="226" t="s">
        <v>948</v>
      </c>
      <c r="P33" s="479"/>
      <c r="Q33" s="1559"/>
      <c r="R33" s="1559"/>
      <c r="W33" s="1559"/>
      <c r="Z33" s="480"/>
      <c r="AF33" s="1555"/>
      <c r="AG33" s="1555"/>
      <c r="AH33" s="1555"/>
      <c r="AI33" s="1555"/>
      <c r="AJ33" s="1555"/>
      <c r="AK33" s="1083">
        <v>23</v>
      </c>
    </row>
    <row r="34" spans="1:37" s="1289" customFormat="1" ht="24" customHeight="1">
      <c r="A34" s="914"/>
      <c r="C34" s="1559"/>
      <c r="D34" s="1561"/>
      <c r="E34" s="1587" t="s">
        <v>949</v>
      </c>
      <c r="F34" s="626" t="s">
        <v>950</v>
      </c>
      <c r="G34" s="1577" t="s">
        <v>569</v>
      </c>
      <c r="H34" s="493"/>
      <c r="I34" s="493"/>
      <c r="J34" s="493"/>
      <c r="K34" s="493"/>
      <c r="L34" s="493"/>
      <c r="M34" s="493"/>
      <c r="N34" s="493"/>
      <c r="O34" s="226" t="s">
        <v>951</v>
      </c>
      <c r="P34" s="479"/>
      <c r="Q34" s="1559"/>
      <c r="R34" s="1559"/>
      <c r="W34" s="1559"/>
      <c r="Z34" s="480"/>
      <c r="AF34" s="1555"/>
      <c r="AG34" s="1555"/>
      <c r="AH34" s="1555"/>
      <c r="AI34" s="1555"/>
      <c r="AJ34" s="1555"/>
      <c r="AK34" s="1083">
        <v>23</v>
      </c>
    </row>
    <row r="35" spans="1:37" s="1289" customFormat="1" ht="24" customHeight="1">
      <c r="A35" s="914"/>
      <c r="C35" s="1559"/>
      <c r="D35" s="1561"/>
      <c r="E35" s="1587" t="s">
        <v>952</v>
      </c>
      <c r="F35" s="626" t="s">
        <v>915</v>
      </c>
      <c r="G35" s="1577" t="s">
        <v>569</v>
      </c>
      <c r="H35" s="493"/>
      <c r="I35" s="493"/>
      <c r="J35" s="493"/>
      <c r="K35" s="493"/>
      <c r="L35" s="493"/>
      <c r="M35" s="493"/>
      <c r="N35" s="493"/>
      <c r="O35" s="226" t="s">
        <v>953</v>
      </c>
      <c r="P35" s="479"/>
      <c r="Q35" s="1559"/>
      <c r="R35" s="1559"/>
      <c r="W35" s="1559"/>
      <c r="Z35" s="480"/>
      <c r="AF35" s="1555"/>
      <c r="AG35" s="1555"/>
      <c r="AH35" s="1555"/>
      <c r="AI35" s="1555"/>
      <c r="AJ35" s="1555"/>
      <c r="AK35" s="1083">
        <v>23</v>
      </c>
    </row>
    <row r="36" spans="1:37" s="1289" customFormat="1" ht="35.65" customHeight="1">
      <c r="A36" s="914"/>
      <c r="C36" s="1559" t="s">
        <v>607</v>
      </c>
      <c r="D36" s="1561"/>
      <c r="E36" s="1587" t="s">
        <v>123</v>
      </c>
      <c r="F36" s="1584" t="s">
        <v>775</v>
      </c>
      <c r="G36" s="1580" t="s">
        <v>325</v>
      </c>
      <c r="H36" s="337"/>
      <c r="I36" s="337"/>
      <c r="J36" s="747"/>
      <c r="K36" s="747"/>
      <c r="L36" s="747"/>
      <c r="M36" s="747"/>
      <c r="N36" s="747"/>
      <c r="O36" s="226" t="s">
        <v>954</v>
      </c>
      <c r="P36" s="479"/>
      <c r="Q36" s="1559"/>
      <c r="R36" s="1559"/>
      <c r="W36" s="1559"/>
      <c r="Z36" s="480"/>
      <c r="AF36" s="1555"/>
      <c r="AG36" s="1555"/>
      <c r="AH36" s="1555"/>
      <c r="AI36" s="1555"/>
      <c r="AJ36" s="1555"/>
      <c r="AK36" s="1083">
        <v>34</v>
      </c>
    </row>
    <row r="37" spans="1:37" s="1289" customFormat="1" ht="35.65" customHeight="1">
      <c r="A37" s="914"/>
      <c r="C37" s="1559"/>
      <c r="D37" s="1561"/>
      <c r="E37" s="1587" t="s">
        <v>93</v>
      </c>
      <c r="F37" s="1584" t="s">
        <v>955</v>
      </c>
      <c r="G37" s="1577" t="s">
        <v>920</v>
      </c>
      <c r="H37" s="1999"/>
      <c r="I37" s="1999"/>
      <c r="J37" s="1999"/>
      <c r="K37" s="1999"/>
      <c r="L37" s="1999"/>
      <c r="M37" s="1999"/>
      <c r="N37" s="1999"/>
      <c r="O37" s="226" t="s">
        <v>921</v>
      </c>
      <c r="P37" s="479"/>
      <c r="Q37" s="1559"/>
      <c r="R37" s="1559"/>
      <c r="W37" s="1559"/>
      <c r="Z37" s="480"/>
      <c r="AF37" s="1555"/>
      <c r="AG37" s="1555"/>
      <c r="AH37" s="1555"/>
      <c r="AI37" s="1555"/>
      <c r="AJ37" s="1555"/>
      <c r="AK37" s="1083">
        <v>34</v>
      </c>
    </row>
    <row r="38" spans="1:37" s="1289" customFormat="1" ht="33.75" customHeight="1">
      <c r="A38" s="914"/>
      <c r="C38" s="1559"/>
      <c r="D38" s="1992"/>
      <c r="E38" s="1587" t="s">
        <v>798</v>
      </c>
      <c r="F38" s="2000" t="s">
        <v>956</v>
      </c>
      <c r="G38" s="1991" t="s">
        <v>920</v>
      </c>
      <c r="H38" s="481"/>
      <c r="I38" s="481"/>
      <c r="J38" s="481"/>
      <c r="K38" s="481"/>
      <c r="L38" s="481"/>
      <c r="M38" s="481"/>
      <c r="N38" s="481"/>
      <c r="O38" s="1998" t="s">
        <v>957</v>
      </c>
      <c r="P38" s="479"/>
      <c r="Q38" s="1559"/>
      <c r="R38" s="1559"/>
      <c r="W38" s="1559"/>
      <c r="Z38" s="480"/>
      <c r="AF38" s="1555"/>
      <c r="AG38" s="1555"/>
      <c r="AH38" s="1555"/>
      <c r="AI38" s="1555"/>
      <c r="AJ38" s="1555"/>
    </row>
    <row r="39" spans="1:37" s="1289" customFormat="1" ht="33.75" customHeight="1">
      <c r="A39" s="914"/>
      <c r="C39" s="1559"/>
      <c r="D39" s="1992"/>
      <c r="E39" s="1587" t="s">
        <v>802</v>
      </c>
      <c r="F39" s="2000" t="s">
        <v>958</v>
      </c>
      <c r="G39" s="1991" t="s">
        <v>920</v>
      </c>
      <c r="H39" s="481"/>
      <c r="I39" s="481"/>
      <c r="J39" s="481"/>
      <c r="K39" s="481"/>
      <c r="L39" s="481"/>
      <c r="M39" s="481"/>
      <c r="N39" s="481"/>
      <c r="O39" s="1998" t="s">
        <v>959</v>
      </c>
      <c r="P39" s="479"/>
      <c r="Q39" s="1559"/>
      <c r="R39" s="1559"/>
      <c r="W39" s="1559"/>
      <c r="Z39" s="480"/>
      <c r="AF39" s="1555"/>
      <c r="AG39" s="1555"/>
      <c r="AH39" s="1555"/>
      <c r="AI39" s="1555"/>
      <c r="AJ39" s="1555"/>
    </row>
    <row r="40" spans="1:37" s="1289" customFormat="1" ht="24" customHeight="1">
      <c r="A40" s="914"/>
      <c r="C40" s="1559"/>
      <c r="D40" s="1561"/>
      <c r="E40" s="1587" t="s">
        <v>94</v>
      </c>
      <c r="F40" s="1584" t="s">
        <v>960</v>
      </c>
      <c r="G40" s="1577" t="s">
        <v>923</v>
      </c>
      <c r="H40" s="1999"/>
      <c r="I40" s="1999"/>
      <c r="J40" s="1999"/>
      <c r="K40" s="1999"/>
      <c r="L40" s="1999"/>
      <c r="M40" s="1999"/>
      <c r="N40" s="1999"/>
      <c r="O40" s="226" t="s">
        <v>924</v>
      </c>
      <c r="P40" s="479"/>
      <c r="Q40" s="1559"/>
      <c r="R40" s="1559"/>
      <c r="W40" s="1559"/>
      <c r="Z40" s="480"/>
      <c r="AF40" s="1555"/>
      <c r="AG40" s="1555"/>
      <c r="AH40" s="1555"/>
      <c r="AI40" s="1555"/>
      <c r="AJ40" s="1555"/>
      <c r="AK40" s="1083">
        <v>23</v>
      </c>
    </row>
    <row r="41" spans="1:37" s="1289" customFormat="1" ht="24" customHeight="1">
      <c r="A41" s="914"/>
      <c r="C41" s="1559"/>
      <c r="D41" s="1992"/>
      <c r="E41" s="1587" t="s">
        <v>961</v>
      </c>
      <c r="F41" s="2000" t="s">
        <v>962</v>
      </c>
      <c r="G41" s="1991" t="s">
        <v>923</v>
      </c>
      <c r="H41" s="481"/>
      <c r="I41" s="481"/>
      <c r="J41" s="481"/>
      <c r="K41" s="481"/>
      <c r="L41" s="481"/>
      <c r="M41" s="481"/>
      <c r="N41" s="481"/>
      <c r="O41" s="1998" t="s">
        <v>963</v>
      </c>
      <c r="P41" s="479"/>
      <c r="Q41" s="1559"/>
      <c r="R41" s="1559"/>
      <c r="W41" s="1559"/>
      <c r="Z41" s="480"/>
      <c r="AF41" s="1555"/>
      <c r="AG41" s="1555"/>
      <c r="AH41" s="1555"/>
      <c r="AI41" s="1555"/>
      <c r="AJ41" s="1555"/>
      <c r="AK41" s="1289">
        <v>23</v>
      </c>
    </row>
    <row r="42" spans="1:37" s="1289" customFormat="1" ht="24" customHeight="1">
      <c r="A42" s="914"/>
      <c r="C42" s="1559"/>
      <c r="D42" s="1992"/>
      <c r="E42" s="1587" t="s">
        <v>964</v>
      </c>
      <c r="F42" s="2000" t="s">
        <v>965</v>
      </c>
      <c r="G42" s="1991" t="s">
        <v>923</v>
      </c>
      <c r="H42" s="481"/>
      <c r="I42" s="481"/>
      <c r="J42" s="481"/>
      <c r="K42" s="481"/>
      <c r="L42" s="481"/>
      <c r="M42" s="481"/>
      <c r="N42" s="481"/>
      <c r="O42" s="1998" t="s">
        <v>966</v>
      </c>
      <c r="P42" s="479"/>
      <c r="Q42" s="1559"/>
      <c r="R42" s="1559"/>
      <c r="W42" s="1559"/>
      <c r="Z42" s="480"/>
      <c r="AF42" s="1555"/>
      <c r="AG42" s="1555"/>
      <c r="AH42" s="1555"/>
      <c r="AI42" s="1555"/>
      <c r="AJ42" s="1555"/>
      <c r="AK42" s="1289">
        <v>23</v>
      </c>
    </row>
    <row r="43" spans="1:37" ht="11.45" customHeight="1">
      <c r="D43" s="1561"/>
      <c r="AK43" s="1554">
        <v>11</v>
      </c>
    </row>
    <row r="44" spans="1:37" ht="27.4" customHeight="1">
      <c r="D44" s="1561"/>
      <c r="E44" s="1176" t="s">
        <v>967</v>
      </c>
      <c r="F44" s="2526" t="s">
        <v>968</v>
      </c>
      <c r="G44" s="2526"/>
      <c r="H44" s="305"/>
      <c r="I44" s="305"/>
      <c r="J44" s="1609"/>
      <c r="K44" s="1609"/>
      <c r="L44" s="1609"/>
      <c r="M44" s="1609"/>
      <c r="N44" s="1609"/>
      <c r="O44" s="305"/>
      <c r="AK44" s="1554">
        <v>26</v>
      </c>
    </row>
    <row r="45" spans="1:37" s="1564" customFormat="1" ht="39.75" customHeight="1">
      <c r="A45" s="914"/>
      <c r="B45" s="1559"/>
      <c r="C45" s="1559"/>
      <c r="D45" s="287"/>
      <c r="F45" s="2526" t="s">
        <v>969</v>
      </c>
      <c r="G45" s="2526"/>
      <c r="H45" s="305"/>
      <c r="I45" s="305"/>
      <c r="J45" s="1609"/>
      <c r="K45" s="1609"/>
      <c r="L45" s="1609"/>
      <c r="M45" s="1609"/>
      <c r="N45" s="1609"/>
      <c r="O45" s="305"/>
      <c r="P45" s="1083"/>
      <c r="Q45" s="1559"/>
      <c r="R45" s="1559"/>
      <c r="S45" s="1083"/>
      <c r="T45" s="1083"/>
      <c r="U45" s="1083"/>
      <c r="V45" s="1083"/>
      <c r="W45" s="1559"/>
      <c r="X45" s="1083"/>
      <c r="Y45" s="1083"/>
      <c r="Z45" s="480"/>
      <c r="AA45" s="1083"/>
      <c r="AB45" s="1083"/>
      <c r="AC45" s="1083"/>
      <c r="AD45" s="1083"/>
      <c r="AE45" s="1083"/>
      <c r="AF45" s="1555"/>
      <c r="AG45" s="502"/>
      <c r="AH45" s="502"/>
      <c r="AI45" s="502"/>
      <c r="AJ45" s="502"/>
      <c r="AK45" s="1564">
        <v>38</v>
      </c>
    </row>
    <row r="46" spans="1:37" s="1564" customFormat="1" ht="11.45" customHeight="1">
      <c r="A46" s="914"/>
      <c r="B46" s="1559"/>
      <c r="C46" s="1559"/>
      <c r="D46" s="287"/>
      <c r="P46" s="1083"/>
      <c r="Q46" s="1559"/>
      <c r="R46" s="1559"/>
      <c r="S46" s="1083"/>
      <c r="T46" s="1083"/>
      <c r="U46" s="1083"/>
      <c r="V46" s="1083"/>
      <c r="W46" s="1559"/>
      <c r="X46" s="1083"/>
      <c r="Y46" s="1083"/>
      <c r="Z46" s="480"/>
      <c r="AA46" s="1083"/>
      <c r="AB46" s="1083"/>
      <c r="AC46" s="1083"/>
      <c r="AD46" s="1083"/>
      <c r="AE46" s="1083"/>
      <c r="AF46" s="1555"/>
      <c r="AG46" s="502"/>
      <c r="AH46" s="502"/>
      <c r="AI46" s="502"/>
      <c r="AJ46" s="502"/>
      <c r="AK46" s="1564">
        <v>11</v>
      </c>
    </row>
    <row r="47" spans="1:37" s="1564" customFormat="1" ht="11.45" customHeight="1">
      <c r="A47" s="914"/>
      <c r="B47" s="1559"/>
      <c r="C47" s="1559"/>
      <c r="D47" s="287"/>
      <c r="P47" s="1083"/>
      <c r="Q47" s="1559"/>
      <c r="R47" s="1559"/>
      <c r="S47" s="1083"/>
      <c r="T47" s="1083"/>
      <c r="U47" s="1083"/>
      <c r="V47" s="1083"/>
      <c r="W47" s="1559"/>
      <c r="X47" s="1083"/>
      <c r="Y47" s="1083"/>
      <c r="Z47" s="480"/>
      <c r="AA47" s="1083"/>
      <c r="AB47" s="1083"/>
      <c r="AC47" s="1083"/>
      <c r="AD47" s="1083"/>
      <c r="AE47" s="1083"/>
      <c r="AF47" s="1555"/>
      <c r="AG47" s="502"/>
      <c r="AH47" s="502"/>
      <c r="AI47" s="502"/>
      <c r="AJ47" s="502"/>
      <c r="AK47" s="1564">
        <v>11</v>
      </c>
    </row>
    <row r="48" spans="1:37" s="1564" customFormat="1" ht="11.45" customHeight="1">
      <c r="A48" s="914"/>
      <c r="B48" s="1559"/>
      <c r="C48" s="1559"/>
      <c r="D48" s="287"/>
      <c r="H48" s="502"/>
      <c r="I48" s="502"/>
      <c r="J48" s="558"/>
      <c r="K48" s="558"/>
      <c r="L48" s="558"/>
      <c r="M48" s="558"/>
      <c r="N48" s="558"/>
      <c r="P48" s="1083"/>
      <c r="Q48" s="1559"/>
      <c r="R48" s="1559"/>
      <c r="S48" s="1083"/>
      <c r="T48" s="1083"/>
      <c r="U48" s="1083"/>
      <c r="V48" s="1083"/>
      <c r="W48" s="1559"/>
      <c r="X48" s="1083"/>
      <c r="Y48" s="1083"/>
      <c r="Z48" s="480"/>
      <c r="AA48" s="1083"/>
      <c r="AB48" s="1083"/>
      <c r="AC48" s="1083"/>
      <c r="AD48" s="1083"/>
      <c r="AE48" s="1083"/>
      <c r="AF48" s="1555"/>
      <c r="AG48" s="502"/>
      <c r="AH48" s="502"/>
      <c r="AI48" s="502"/>
      <c r="AJ48" s="502"/>
      <c r="AK48" s="1564">
        <v>11</v>
      </c>
    </row>
    <row r="49" spans="1:37" s="1564" customFormat="1" ht="11.45" customHeight="1">
      <c r="A49" s="914"/>
      <c r="B49" s="1559"/>
      <c r="C49" s="1559"/>
      <c r="D49" s="287"/>
      <c r="P49" s="1083"/>
      <c r="Q49" s="1559"/>
      <c r="R49" s="1559"/>
      <c r="S49" s="1083"/>
      <c r="T49" s="1083"/>
      <c r="U49" s="1083"/>
      <c r="V49" s="1083"/>
      <c r="W49" s="1559"/>
      <c r="X49" s="1083"/>
      <c r="Y49" s="1083"/>
      <c r="Z49" s="480"/>
      <c r="AA49" s="1083"/>
      <c r="AB49" s="1083"/>
      <c r="AC49" s="1083"/>
      <c r="AD49" s="1083"/>
      <c r="AE49" s="1083"/>
      <c r="AF49" s="1555"/>
      <c r="AG49" s="502"/>
      <c r="AH49" s="502"/>
      <c r="AI49" s="502"/>
      <c r="AJ49" s="502"/>
      <c r="AK49" s="1564">
        <v>11</v>
      </c>
    </row>
    <row r="50" spans="1:37" s="1564" customFormat="1" ht="11.45" customHeight="1">
      <c r="A50" s="914"/>
      <c r="B50" s="1559"/>
      <c r="C50" s="1559"/>
      <c r="D50" s="287"/>
      <c r="P50" s="1083"/>
      <c r="Q50" s="1559"/>
      <c r="R50" s="1559"/>
      <c r="S50" s="1083"/>
      <c r="T50" s="1083"/>
      <c r="U50" s="1083"/>
      <c r="V50" s="1083"/>
      <c r="W50" s="1559"/>
      <c r="X50" s="1083"/>
      <c r="Y50" s="1083"/>
      <c r="Z50" s="480"/>
      <c r="AA50" s="1083"/>
      <c r="AB50" s="1083"/>
      <c r="AC50" s="1083"/>
      <c r="AD50" s="1083"/>
      <c r="AE50" s="1083"/>
      <c r="AF50" s="1555"/>
      <c r="AG50" s="502"/>
      <c r="AH50" s="502"/>
      <c r="AI50" s="502"/>
      <c r="AJ50" s="502"/>
      <c r="AK50" s="1564">
        <v>11</v>
      </c>
    </row>
    <row r="51" spans="1:37" s="1564" customFormat="1" ht="11.45" customHeight="1">
      <c r="A51" s="914"/>
      <c r="B51" s="1559"/>
      <c r="C51" s="1559"/>
      <c r="D51" s="287"/>
      <c r="P51" s="1083"/>
      <c r="Q51" s="1559"/>
      <c r="R51" s="1559"/>
      <c r="S51" s="1083"/>
      <c r="T51" s="1083"/>
      <c r="U51" s="1083"/>
      <c r="V51" s="1083"/>
      <c r="W51" s="1559"/>
      <c r="X51" s="1083"/>
      <c r="Y51" s="1083"/>
      <c r="Z51" s="480"/>
      <c r="AA51" s="1083"/>
      <c r="AB51" s="1083"/>
      <c r="AC51" s="1083"/>
      <c r="AD51" s="1083"/>
      <c r="AE51" s="1083"/>
      <c r="AF51" s="1555"/>
      <c r="AG51" s="502"/>
      <c r="AH51" s="502"/>
      <c r="AI51" s="502"/>
      <c r="AJ51" s="502"/>
      <c r="AK51" s="1564">
        <v>11</v>
      </c>
    </row>
    <row r="52" spans="1:37" s="1564" customFormat="1" ht="11.45" customHeight="1">
      <c r="A52" s="914"/>
      <c r="B52" s="1559"/>
      <c r="C52" s="1559"/>
      <c r="D52" s="287"/>
      <c r="P52" s="1083"/>
      <c r="Q52" s="1559"/>
      <c r="R52" s="1559"/>
      <c r="S52" s="1083"/>
      <c r="T52" s="1083"/>
      <c r="U52" s="1083"/>
      <c r="V52" s="1083"/>
      <c r="W52" s="1559"/>
      <c r="X52" s="1083"/>
      <c r="Y52" s="1083"/>
      <c r="Z52" s="480"/>
      <c r="AA52" s="1083"/>
      <c r="AB52" s="1083"/>
      <c r="AC52" s="1083"/>
      <c r="AD52" s="1083"/>
      <c r="AE52" s="1083"/>
      <c r="AF52" s="1555"/>
      <c r="AG52" s="502"/>
      <c r="AH52" s="502"/>
      <c r="AI52" s="502"/>
      <c r="AJ52" s="502"/>
      <c r="AK52" s="1564">
        <v>11</v>
      </c>
    </row>
    <row r="53" spans="1:37" s="1564" customFormat="1" ht="11.45" customHeight="1">
      <c r="A53" s="914"/>
      <c r="B53" s="1559"/>
      <c r="C53" s="1559"/>
      <c r="D53" s="287"/>
      <c r="P53" s="1083"/>
      <c r="Q53" s="1559"/>
      <c r="R53" s="1559"/>
      <c r="S53" s="1083"/>
      <c r="T53" s="1083"/>
      <c r="U53" s="1083"/>
      <c r="V53" s="1083"/>
      <c r="W53" s="1559"/>
      <c r="X53" s="1083"/>
      <c r="Y53" s="1083"/>
      <c r="Z53" s="480"/>
      <c r="AA53" s="1083"/>
      <c r="AB53" s="1083"/>
      <c r="AC53" s="1083"/>
      <c r="AD53" s="1083"/>
      <c r="AE53" s="1083"/>
      <c r="AF53" s="1555"/>
      <c r="AG53" s="502"/>
      <c r="AH53" s="502"/>
      <c r="AI53" s="502"/>
      <c r="AJ53" s="502"/>
      <c r="AK53" s="1564">
        <v>11</v>
      </c>
    </row>
    <row r="54" spans="1:37" s="1564" customFormat="1" ht="11.45" customHeight="1">
      <c r="A54" s="914"/>
      <c r="B54" s="1559"/>
      <c r="C54" s="1559"/>
      <c r="D54" s="287"/>
      <c r="P54" s="1083"/>
      <c r="Q54" s="1559"/>
      <c r="R54" s="1559"/>
      <c r="S54" s="1083"/>
      <c r="T54" s="1083"/>
      <c r="U54" s="1083"/>
      <c r="V54" s="1083"/>
      <c r="W54" s="1559"/>
      <c r="X54" s="1083"/>
      <c r="Y54" s="1083"/>
      <c r="Z54" s="480"/>
      <c r="AA54" s="1083"/>
      <c r="AB54" s="1083"/>
      <c r="AC54" s="1083"/>
      <c r="AD54" s="1083"/>
      <c r="AE54" s="1083"/>
      <c r="AF54" s="1555"/>
      <c r="AG54" s="502"/>
      <c r="AH54" s="502"/>
      <c r="AI54" s="502"/>
      <c r="AJ54" s="502"/>
      <c r="AK54" s="1564">
        <v>11</v>
      </c>
    </row>
    <row r="55" spans="1:37" s="1564" customFormat="1" ht="11.45" customHeight="1">
      <c r="A55" s="914"/>
      <c r="B55" s="1559"/>
      <c r="C55" s="1559"/>
      <c r="D55" s="287"/>
      <c r="P55" s="1083"/>
      <c r="Q55" s="1559"/>
      <c r="R55" s="1559"/>
      <c r="S55" s="1083"/>
      <c r="T55" s="1083"/>
      <c r="U55" s="1083"/>
      <c r="V55" s="1083"/>
      <c r="W55" s="1559"/>
      <c r="X55" s="1083"/>
      <c r="Y55" s="1083"/>
      <c r="Z55" s="480"/>
      <c r="AA55" s="1083"/>
      <c r="AB55" s="1083"/>
      <c r="AC55" s="1083"/>
      <c r="AD55" s="1083"/>
      <c r="AE55" s="1083"/>
      <c r="AF55" s="1555"/>
      <c r="AG55" s="502"/>
      <c r="AH55" s="502"/>
      <c r="AI55" s="502"/>
      <c r="AJ55" s="502"/>
      <c r="AK55" s="1564">
        <v>11</v>
      </c>
    </row>
    <row r="56" spans="1:37" s="1564" customFormat="1" ht="11.45" customHeight="1">
      <c r="A56" s="914"/>
      <c r="B56" s="1559"/>
      <c r="C56" s="1559"/>
      <c r="D56" s="287"/>
      <c r="P56" s="1083"/>
      <c r="Q56" s="1559"/>
      <c r="R56" s="1559"/>
      <c r="S56" s="1083"/>
      <c r="T56" s="1083"/>
      <c r="U56" s="1083"/>
      <c r="V56" s="1083"/>
      <c r="W56" s="1559"/>
      <c r="X56" s="1083"/>
      <c r="Y56" s="1083"/>
      <c r="Z56" s="480"/>
      <c r="AA56" s="1083"/>
      <c r="AB56" s="1083"/>
      <c r="AC56" s="1083"/>
      <c r="AD56" s="1083"/>
      <c r="AE56" s="1083"/>
      <c r="AF56" s="1555"/>
      <c r="AG56" s="502"/>
      <c r="AH56" s="502"/>
      <c r="AI56" s="502"/>
      <c r="AJ56" s="502"/>
      <c r="AK56" s="1564">
        <v>11</v>
      </c>
    </row>
    <row r="57" spans="1:37" s="1564" customFormat="1" ht="11.45" customHeight="1">
      <c r="A57" s="914"/>
      <c r="B57" s="1559"/>
      <c r="C57" s="1559"/>
      <c r="D57" s="287"/>
      <c r="P57" s="1083"/>
      <c r="Q57" s="1559"/>
      <c r="R57" s="1559"/>
      <c r="S57" s="1083"/>
      <c r="T57" s="1083"/>
      <c r="U57" s="1083"/>
      <c r="V57" s="1083"/>
      <c r="W57" s="1559"/>
      <c r="X57" s="1083"/>
      <c r="Y57" s="1083"/>
      <c r="Z57" s="480"/>
      <c r="AA57" s="1083"/>
      <c r="AB57" s="1083"/>
      <c r="AC57" s="1083"/>
      <c r="AD57" s="1083"/>
      <c r="AE57" s="1083"/>
      <c r="AF57" s="1555"/>
      <c r="AG57" s="502"/>
      <c r="AH57" s="502"/>
      <c r="AI57" s="502"/>
      <c r="AJ57" s="502"/>
      <c r="AK57" s="1564">
        <v>11</v>
      </c>
    </row>
    <row r="58" spans="1:37" s="1564" customFormat="1" ht="11.45" customHeight="1">
      <c r="A58" s="914"/>
      <c r="B58" s="1559"/>
      <c r="C58" s="1559"/>
      <c r="D58" s="287"/>
      <c r="P58" s="1083"/>
      <c r="Q58" s="1559"/>
      <c r="R58" s="1559"/>
      <c r="S58" s="1083"/>
      <c r="T58" s="1083"/>
      <c r="U58" s="1083"/>
      <c r="V58" s="1083"/>
      <c r="W58" s="1559"/>
      <c r="X58" s="1083"/>
      <c r="Y58" s="1083"/>
      <c r="Z58" s="480"/>
      <c r="AA58" s="1083"/>
      <c r="AB58" s="1083"/>
      <c r="AC58" s="1083"/>
      <c r="AD58" s="1083"/>
      <c r="AE58" s="1083"/>
      <c r="AF58" s="1555"/>
      <c r="AG58" s="502"/>
      <c r="AH58" s="502"/>
      <c r="AI58" s="502"/>
      <c r="AJ58" s="502"/>
      <c r="AK58" s="1564">
        <v>11</v>
      </c>
    </row>
    <row r="59" spans="1:37" s="1564" customFormat="1" ht="11.45" customHeight="1">
      <c r="A59" s="914"/>
      <c r="B59" s="1559"/>
      <c r="C59" s="1559"/>
      <c r="D59" s="287"/>
      <c r="P59" s="1083"/>
      <c r="Q59" s="1559"/>
      <c r="R59" s="1559"/>
      <c r="S59" s="1083"/>
      <c r="T59" s="1083"/>
      <c r="U59" s="1083"/>
      <c r="V59" s="1083"/>
      <c r="W59" s="1559"/>
      <c r="X59" s="1083"/>
      <c r="Y59" s="1083"/>
      <c r="Z59" s="480"/>
      <c r="AA59" s="1083"/>
      <c r="AB59" s="1083"/>
      <c r="AC59" s="1083"/>
      <c r="AD59" s="1083"/>
      <c r="AE59" s="1083"/>
      <c r="AF59" s="1555"/>
      <c r="AG59" s="502"/>
      <c r="AH59" s="502"/>
      <c r="AI59" s="502"/>
      <c r="AJ59" s="502"/>
      <c r="AK59" s="1564">
        <v>11</v>
      </c>
    </row>
    <row r="60" spans="1:37" s="1564" customFormat="1" ht="11.45" customHeight="1">
      <c r="A60" s="914"/>
      <c r="B60" s="1559"/>
      <c r="C60" s="1559"/>
      <c r="D60" s="287"/>
      <c r="P60" s="1083"/>
      <c r="Q60" s="1559"/>
      <c r="R60" s="1559"/>
      <c r="S60" s="1083"/>
      <c r="T60" s="1083"/>
      <c r="U60" s="1083"/>
      <c r="V60" s="1083"/>
      <c r="W60" s="1559"/>
      <c r="X60" s="1083"/>
      <c r="Y60" s="1083"/>
      <c r="Z60" s="480"/>
      <c r="AA60" s="1083"/>
      <c r="AB60" s="1083"/>
      <c r="AC60" s="1083"/>
      <c r="AD60" s="1083"/>
      <c r="AE60" s="1083"/>
      <c r="AF60" s="1555"/>
      <c r="AG60" s="502"/>
      <c r="AH60" s="502"/>
      <c r="AI60" s="502"/>
      <c r="AJ60" s="502"/>
      <c r="AK60" s="1564">
        <v>11</v>
      </c>
    </row>
    <row r="61" spans="1:37" s="1564" customFormat="1" ht="11.45" customHeight="1">
      <c r="A61" s="914"/>
      <c r="B61" s="1559"/>
      <c r="C61" s="1559"/>
      <c r="D61" s="287"/>
      <c r="P61" s="1083"/>
      <c r="Q61" s="1559"/>
      <c r="R61" s="1559"/>
      <c r="S61" s="1083"/>
      <c r="T61" s="1083"/>
      <c r="U61" s="1083"/>
      <c r="V61" s="1083"/>
      <c r="W61" s="1559"/>
      <c r="X61" s="1083"/>
      <c r="Y61" s="1083"/>
      <c r="Z61" s="480"/>
      <c r="AA61" s="1083"/>
      <c r="AB61" s="1083"/>
      <c r="AC61" s="1083"/>
      <c r="AD61" s="1083"/>
      <c r="AE61" s="1083"/>
      <c r="AF61" s="1555"/>
      <c r="AG61" s="502"/>
      <c r="AH61" s="502"/>
      <c r="AI61" s="502"/>
      <c r="AJ61" s="502"/>
      <c r="AK61" s="1564">
        <v>11</v>
      </c>
    </row>
    <row r="62" spans="1:37" s="1564" customFormat="1" ht="11.45" customHeight="1">
      <c r="A62" s="914"/>
      <c r="B62" s="1559"/>
      <c r="C62" s="1559"/>
      <c r="D62" s="287"/>
      <c r="P62" s="1083"/>
      <c r="Q62" s="1559"/>
      <c r="R62" s="1559"/>
      <c r="S62" s="1083"/>
      <c r="T62" s="1083"/>
      <c r="U62" s="1083"/>
      <c r="V62" s="1083"/>
      <c r="W62" s="1559"/>
      <c r="X62" s="1083"/>
      <c r="Y62" s="1083"/>
      <c r="Z62" s="480"/>
      <c r="AA62" s="1083"/>
      <c r="AB62" s="1083"/>
      <c r="AC62" s="1083"/>
      <c r="AD62" s="1083"/>
      <c r="AE62" s="1083"/>
      <c r="AF62" s="1555"/>
      <c r="AG62" s="502"/>
      <c r="AH62" s="502"/>
      <c r="AI62" s="502"/>
      <c r="AJ62" s="502"/>
      <c r="AK62" s="1564">
        <v>11</v>
      </c>
    </row>
    <row r="63" spans="1:37" s="1564" customFormat="1" ht="11.45" customHeight="1">
      <c r="A63" s="914"/>
      <c r="B63" s="1559"/>
      <c r="C63" s="1559"/>
      <c r="D63" s="287"/>
      <c r="P63" s="1083"/>
      <c r="Q63" s="1559"/>
      <c r="R63" s="1559"/>
      <c r="S63" s="1083"/>
      <c r="T63" s="1083"/>
      <c r="U63" s="1083"/>
      <c r="V63" s="1083"/>
      <c r="W63" s="1559"/>
      <c r="X63" s="1083"/>
      <c r="Y63" s="1083"/>
      <c r="Z63" s="480"/>
      <c r="AA63" s="1083"/>
      <c r="AB63" s="1083"/>
      <c r="AC63" s="1083"/>
      <c r="AD63" s="1083"/>
      <c r="AE63" s="1083"/>
      <c r="AF63" s="1555"/>
      <c r="AG63" s="502"/>
      <c r="AH63" s="502"/>
      <c r="AI63" s="502"/>
      <c r="AJ63" s="502"/>
      <c r="AK63" s="1564">
        <v>11</v>
      </c>
    </row>
    <row r="64" spans="1:37" s="1564" customFormat="1" ht="11.45" customHeight="1">
      <c r="A64" s="914"/>
      <c r="B64" s="1559"/>
      <c r="C64" s="1559"/>
      <c r="D64" s="287"/>
      <c r="P64" s="1083"/>
      <c r="Q64" s="1559"/>
      <c r="R64" s="1559"/>
      <c r="S64" s="1083"/>
      <c r="T64" s="1083"/>
      <c r="U64" s="1083"/>
      <c r="V64" s="1083"/>
      <c r="W64" s="1559"/>
      <c r="X64" s="1083"/>
      <c r="Y64" s="1083"/>
      <c r="Z64" s="480"/>
      <c r="AA64" s="1083"/>
      <c r="AB64" s="1083"/>
      <c r="AC64" s="1083"/>
      <c r="AD64" s="1083"/>
      <c r="AE64" s="1083"/>
      <c r="AF64" s="1555"/>
      <c r="AG64" s="502"/>
      <c r="AH64" s="502"/>
      <c r="AI64" s="502"/>
      <c r="AJ64" s="502"/>
      <c r="AK64" s="1564">
        <v>11</v>
      </c>
    </row>
    <row r="65" spans="1:37" s="1564" customFormat="1" ht="11.45" customHeight="1">
      <c r="A65" s="914"/>
      <c r="B65" s="1559"/>
      <c r="C65" s="1559"/>
      <c r="D65" s="287"/>
      <c r="P65" s="1083"/>
      <c r="Q65" s="1559"/>
      <c r="R65" s="1559"/>
      <c r="S65" s="1083"/>
      <c r="T65" s="1083"/>
      <c r="U65" s="1083"/>
      <c r="V65" s="1083"/>
      <c r="W65" s="1559"/>
      <c r="X65" s="1083"/>
      <c r="Y65" s="1083"/>
      <c r="Z65" s="480"/>
      <c r="AA65" s="1083"/>
      <c r="AB65" s="1083"/>
      <c r="AC65" s="1083"/>
      <c r="AD65" s="1083"/>
      <c r="AE65" s="1083"/>
      <c r="AF65" s="1555"/>
      <c r="AG65" s="502"/>
      <c r="AH65" s="502"/>
      <c r="AI65" s="502"/>
      <c r="AJ65" s="502"/>
      <c r="AK65" s="1564">
        <v>11</v>
      </c>
    </row>
    <row r="66" spans="1:37" s="1564" customFormat="1" ht="11.45" customHeight="1">
      <c r="A66" s="914"/>
      <c r="B66" s="1559"/>
      <c r="C66" s="1559"/>
      <c r="D66" s="287"/>
      <c r="P66" s="1083"/>
      <c r="Q66" s="1559"/>
      <c r="R66" s="1559"/>
      <c r="S66" s="1083"/>
      <c r="T66" s="1083"/>
      <c r="U66" s="1083"/>
      <c r="V66" s="1083"/>
      <c r="W66" s="1559"/>
      <c r="X66" s="1083"/>
      <c r="Y66" s="1083"/>
      <c r="Z66" s="480"/>
      <c r="AA66" s="1083"/>
      <c r="AB66" s="1083"/>
      <c r="AC66" s="1083"/>
      <c r="AD66" s="1083"/>
      <c r="AE66" s="1083"/>
      <c r="AF66" s="1555"/>
      <c r="AG66" s="502"/>
      <c r="AH66" s="502"/>
      <c r="AI66" s="502"/>
      <c r="AJ66" s="502"/>
      <c r="AK66" s="1564">
        <v>11</v>
      </c>
    </row>
    <row r="67" spans="1:37" s="1564" customFormat="1" ht="11.45" customHeight="1">
      <c r="A67" s="914"/>
      <c r="B67" s="1559"/>
      <c r="C67" s="1559"/>
      <c r="D67" s="287"/>
      <c r="P67" s="1083"/>
      <c r="Q67" s="1559"/>
      <c r="R67" s="1559"/>
      <c r="S67" s="1083"/>
      <c r="T67" s="1083"/>
      <c r="U67" s="1083"/>
      <c r="V67" s="1083"/>
      <c r="W67" s="1559"/>
      <c r="X67" s="1083"/>
      <c r="Y67" s="1083"/>
      <c r="Z67" s="480"/>
      <c r="AA67" s="1083"/>
      <c r="AB67" s="1083"/>
      <c r="AC67" s="1083"/>
      <c r="AD67" s="1083"/>
      <c r="AE67" s="1083"/>
      <c r="AF67" s="1555"/>
      <c r="AG67" s="502"/>
      <c r="AH67" s="502"/>
      <c r="AI67" s="502"/>
      <c r="AJ67" s="502"/>
      <c r="AK67" s="1564">
        <v>11</v>
      </c>
    </row>
    <row r="68" spans="1:37" s="1564" customFormat="1" ht="11.45" customHeight="1">
      <c r="A68" s="914"/>
      <c r="B68" s="1559"/>
      <c r="C68" s="1559"/>
      <c r="D68" s="287"/>
      <c r="P68" s="1083"/>
      <c r="Q68" s="1559"/>
      <c r="R68" s="1559"/>
      <c r="S68" s="1083"/>
      <c r="T68" s="1083"/>
      <c r="U68" s="1083"/>
      <c r="V68" s="1083"/>
      <c r="W68" s="1559"/>
      <c r="X68" s="1083"/>
      <c r="Y68" s="1083"/>
      <c r="Z68" s="480"/>
      <c r="AA68" s="1083"/>
      <c r="AB68" s="1083"/>
      <c r="AC68" s="1083"/>
      <c r="AD68" s="1083"/>
      <c r="AE68" s="1083"/>
      <c r="AF68" s="1555"/>
      <c r="AG68" s="502"/>
      <c r="AH68" s="502"/>
      <c r="AI68" s="502"/>
      <c r="AJ68" s="502"/>
      <c r="AK68" s="1564">
        <v>11</v>
      </c>
    </row>
    <row r="69" spans="1:37" s="1564" customFormat="1" ht="11.45" customHeight="1">
      <c r="A69" s="914"/>
      <c r="B69" s="1559"/>
      <c r="C69" s="1559"/>
      <c r="D69" s="287"/>
      <c r="P69" s="1083"/>
      <c r="Q69" s="1559"/>
      <c r="R69" s="1559"/>
      <c r="S69" s="1083"/>
      <c r="T69" s="1083"/>
      <c r="U69" s="1083"/>
      <c r="V69" s="1083"/>
      <c r="W69" s="1559"/>
      <c r="X69" s="1083"/>
      <c r="Y69" s="1083"/>
      <c r="Z69" s="480"/>
      <c r="AA69" s="1083"/>
      <c r="AB69" s="1083"/>
      <c r="AC69" s="1083"/>
      <c r="AD69" s="1083"/>
      <c r="AE69" s="1083"/>
      <c r="AF69" s="1555"/>
      <c r="AG69" s="502"/>
      <c r="AH69" s="502"/>
      <c r="AI69" s="502"/>
      <c r="AJ69" s="502"/>
      <c r="AK69" s="1564">
        <v>11</v>
      </c>
    </row>
    <row r="70" spans="1:37" s="1564" customFormat="1" ht="11.45" customHeight="1">
      <c r="A70" s="914"/>
      <c r="B70" s="1559"/>
      <c r="C70" s="1559"/>
      <c r="D70" s="287"/>
      <c r="P70" s="1083"/>
      <c r="Q70" s="1559"/>
      <c r="R70" s="1559"/>
      <c r="S70" s="1083"/>
      <c r="T70" s="1083"/>
      <c r="U70" s="1083"/>
      <c r="V70" s="1083"/>
      <c r="W70" s="1559"/>
      <c r="X70" s="1083"/>
      <c r="Y70" s="1083"/>
      <c r="Z70" s="480"/>
      <c r="AA70" s="1083"/>
      <c r="AB70" s="1083"/>
      <c r="AC70" s="1083"/>
      <c r="AD70" s="1083"/>
      <c r="AE70" s="1083"/>
      <c r="AF70" s="1555"/>
      <c r="AG70" s="502"/>
      <c r="AH70" s="502"/>
      <c r="AI70" s="502"/>
      <c r="AJ70" s="502"/>
      <c r="AK70" s="1564">
        <v>11</v>
      </c>
    </row>
    <row r="71" spans="1:37" s="1564" customFormat="1" ht="11.45" customHeight="1">
      <c r="A71" s="914"/>
      <c r="B71" s="1559"/>
      <c r="C71" s="1559"/>
      <c r="D71" s="287"/>
      <c r="P71" s="1083"/>
      <c r="Q71" s="1559"/>
      <c r="R71" s="1559"/>
      <c r="S71" s="1083"/>
      <c r="T71" s="1083"/>
      <c r="U71" s="1083"/>
      <c r="V71" s="1083"/>
      <c r="W71" s="1559"/>
      <c r="X71" s="1083"/>
      <c r="Y71" s="1083"/>
      <c r="Z71" s="480"/>
      <c r="AA71" s="1083"/>
      <c r="AB71" s="1083"/>
      <c r="AC71" s="1083"/>
      <c r="AD71" s="1083"/>
      <c r="AE71" s="1083"/>
      <c r="AF71" s="1555"/>
      <c r="AG71" s="502"/>
      <c r="AH71" s="502"/>
      <c r="AI71" s="502"/>
      <c r="AJ71" s="502"/>
      <c r="AK71" s="1564">
        <v>11</v>
      </c>
    </row>
    <row r="72" spans="1:37" s="1564" customFormat="1" ht="11.45" customHeight="1">
      <c r="A72" s="914"/>
      <c r="B72" s="1559"/>
      <c r="C72" s="1559"/>
      <c r="D72" s="287"/>
      <c r="P72" s="1083"/>
      <c r="Q72" s="1559"/>
      <c r="R72" s="1559"/>
      <c r="S72" s="1083"/>
      <c r="T72" s="1083"/>
      <c r="U72" s="1083"/>
      <c r="V72" s="1083"/>
      <c r="W72" s="1559"/>
      <c r="X72" s="1083"/>
      <c r="Y72" s="1083"/>
      <c r="Z72" s="480"/>
      <c r="AA72" s="1083"/>
      <c r="AB72" s="1083"/>
      <c r="AC72" s="1083"/>
      <c r="AD72" s="1083"/>
      <c r="AE72" s="1083"/>
      <c r="AF72" s="1555"/>
      <c r="AG72" s="502"/>
      <c r="AH72" s="502"/>
      <c r="AI72" s="502"/>
      <c r="AJ72" s="502"/>
      <c r="AK72" s="1564">
        <v>11</v>
      </c>
    </row>
    <row r="73" spans="1:37" s="1564" customFormat="1" ht="11.45" customHeight="1">
      <c r="A73" s="914"/>
      <c r="B73" s="1559"/>
      <c r="C73" s="1559"/>
      <c r="D73" s="287"/>
      <c r="P73" s="1083"/>
      <c r="Q73" s="1559"/>
      <c r="R73" s="1559"/>
      <c r="S73" s="1083"/>
      <c r="T73" s="1083"/>
      <c r="U73" s="1083"/>
      <c r="V73" s="1083"/>
      <c r="W73" s="1559"/>
      <c r="X73" s="1083"/>
      <c r="Y73" s="1083"/>
      <c r="Z73" s="480"/>
      <c r="AA73" s="1083"/>
      <c r="AB73" s="1083"/>
      <c r="AC73" s="1083"/>
      <c r="AD73" s="1083"/>
      <c r="AE73" s="1083"/>
      <c r="AF73" s="1555"/>
      <c r="AG73" s="502"/>
      <c r="AH73" s="502"/>
      <c r="AI73" s="502"/>
      <c r="AJ73" s="502"/>
      <c r="AK73" s="1564">
        <v>11</v>
      </c>
    </row>
    <row r="74" spans="1:37" s="1564" customFormat="1" ht="11.45" customHeight="1">
      <c r="A74" s="914"/>
      <c r="B74" s="1559"/>
      <c r="C74" s="1559"/>
      <c r="D74" s="287"/>
      <c r="P74" s="1083"/>
      <c r="Q74" s="1559"/>
      <c r="R74" s="1559"/>
      <c r="S74" s="1083"/>
      <c r="T74" s="1083"/>
      <c r="U74" s="1083"/>
      <c r="V74" s="1083"/>
      <c r="W74" s="1559"/>
      <c r="X74" s="1083"/>
      <c r="Y74" s="1083"/>
      <c r="Z74" s="480"/>
      <c r="AA74" s="1083"/>
      <c r="AB74" s="1083"/>
      <c r="AC74" s="1083"/>
      <c r="AD74" s="1083"/>
      <c r="AE74" s="1083"/>
      <c r="AF74" s="1555"/>
      <c r="AG74" s="502"/>
      <c r="AH74" s="502"/>
      <c r="AI74" s="502"/>
      <c r="AJ74" s="502"/>
      <c r="AK74" s="1564">
        <v>11</v>
      </c>
    </row>
    <row r="75" spans="1:37" s="1564" customFormat="1" ht="11.45" customHeight="1">
      <c r="A75" s="914"/>
      <c r="B75" s="1559"/>
      <c r="C75" s="1559"/>
      <c r="D75" s="287"/>
      <c r="P75" s="1083"/>
      <c r="Q75" s="1559"/>
      <c r="R75" s="1559"/>
      <c r="S75" s="1083"/>
      <c r="T75" s="1083"/>
      <c r="U75" s="1083"/>
      <c r="V75" s="1083"/>
      <c r="W75" s="1559"/>
      <c r="X75" s="1083"/>
      <c r="Y75" s="1083"/>
      <c r="Z75" s="480"/>
      <c r="AA75" s="1083"/>
      <c r="AB75" s="1083"/>
      <c r="AC75" s="1083"/>
      <c r="AD75" s="1083"/>
      <c r="AE75" s="1083"/>
      <c r="AF75" s="1555"/>
      <c r="AG75" s="502"/>
      <c r="AH75" s="502"/>
      <c r="AI75" s="502"/>
      <c r="AJ75" s="502"/>
      <c r="AK75" s="1564">
        <v>11</v>
      </c>
    </row>
    <row r="76" spans="1:37" s="1564" customFormat="1" ht="11.45" customHeight="1">
      <c r="A76" s="914"/>
      <c r="B76" s="1559"/>
      <c r="C76" s="1559"/>
      <c r="D76" s="287"/>
      <c r="P76" s="1083"/>
      <c r="Q76" s="1559"/>
      <c r="R76" s="1559"/>
      <c r="S76" s="1083"/>
      <c r="T76" s="1083"/>
      <c r="U76" s="1083"/>
      <c r="V76" s="1083"/>
      <c r="W76" s="1559"/>
      <c r="X76" s="1083"/>
      <c r="Y76" s="1083"/>
      <c r="Z76" s="480"/>
      <c r="AA76" s="1083"/>
      <c r="AB76" s="1083"/>
      <c r="AC76" s="1083"/>
      <c r="AD76" s="1083"/>
      <c r="AE76" s="1083"/>
      <c r="AF76" s="1555"/>
      <c r="AG76" s="502"/>
      <c r="AH76" s="502"/>
      <c r="AI76" s="502"/>
      <c r="AJ76" s="502"/>
      <c r="AK76" s="1564">
        <v>11</v>
      </c>
    </row>
    <row r="77" spans="1:37" s="1564" customFormat="1" ht="11.45" customHeight="1">
      <c r="A77" s="914"/>
      <c r="B77" s="1559"/>
      <c r="C77" s="1559"/>
      <c r="D77" s="287"/>
      <c r="P77" s="1083"/>
      <c r="Q77" s="1559"/>
      <c r="R77" s="1559"/>
      <c r="S77" s="1083"/>
      <c r="T77" s="1083"/>
      <c r="U77" s="1083"/>
      <c r="V77" s="1083"/>
      <c r="W77" s="1559"/>
      <c r="X77" s="1083"/>
      <c r="Y77" s="1083"/>
      <c r="Z77" s="480"/>
      <c r="AA77" s="1083"/>
      <c r="AB77" s="1083"/>
      <c r="AC77" s="1083"/>
      <c r="AD77" s="1083"/>
      <c r="AE77" s="1083"/>
      <c r="AF77" s="1555"/>
      <c r="AG77" s="502"/>
      <c r="AH77" s="502"/>
      <c r="AI77" s="502"/>
      <c r="AJ77" s="502"/>
      <c r="AK77" s="1564">
        <v>11</v>
      </c>
    </row>
    <row r="78" spans="1:37" s="1564" customFormat="1" ht="11.45" customHeight="1">
      <c r="A78" s="914"/>
      <c r="B78" s="1559"/>
      <c r="C78" s="1559"/>
      <c r="D78" s="287"/>
      <c r="P78" s="1083"/>
      <c r="Q78" s="1559"/>
      <c r="R78" s="1559"/>
      <c r="S78" s="1083"/>
      <c r="T78" s="1083"/>
      <c r="U78" s="1083"/>
      <c r="V78" s="1083"/>
      <c r="W78" s="1559"/>
      <c r="X78" s="1083"/>
      <c r="Y78" s="1083"/>
      <c r="Z78" s="480"/>
      <c r="AA78" s="1083"/>
      <c r="AB78" s="1083"/>
      <c r="AC78" s="1083"/>
      <c r="AD78" s="1083"/>
      <c r="AE78" s="1083"/>
      <c r="AF78" s="1555"/>
      <c r="AG78" s="502"/>
      <c r="AH78" s="502"/>
      <c r="AI78" s="502"/>
      <c r="AJ78" s="502"/>
      <c r="AK78" s="1564">
        <v>11</v>
      </c>
    </row>
    <row r="79" spans="1:37" s="1564" customFormat="1" ht="11.45" customHeight="1">
      <c r="A79" s="914"/>
      <c r="B79" s="1559"/>
      <c r="C79" s="1559"/>
      <c r="D79" s="287"/>
      <c r="P79" s="1083"/>
      <c r="Q79" s="1559"/>
      <c r="R79" s="1559"/>
      <c r="S79" s="1083"/>
      <c r="T79" s="1083"/>
      <c r="U79" s="1083"/>
      <c r="V79" s="1083"/>
      <c r="W79" s="1559"/>
      <c r="X79" s="1083"/>
      <c r="Y79" s="1083"/>
      <c r="Z79" s="480"/>
      <c r="AA79" s="1083"/>
      <c r="AB79" s="1083"/>
      <c r="AC79" s="1083"/>
      <c r="AD79" s="1083"/>
      <c r="AE79" s="1083"/>
      <c r="AF79" s="1555"/>
      <c r="AG79" s="502"/>
      <c r="AH79" s="502"/>
      <c r="AI79" s="502"/>
      <c r="AJ79" s="502"/>
      <c r="AK79" s="1564">
        <v>11</v>
      </c>
    </row>
    <row r="80" spans="1:37" s="1564" customFormat="1" ht="11.45" customHeight="1">
      <c r="A80" s="914"/>
      <c r="B80" s="1559"/>
      <c r="C80" s="1559"/>
      <c r="D80" s="287"/>
      <c r="P80" s="1083"/>
      <c r="Q80" s="1559"/>
      <c r="R80" s="1559"/>
      <c r="S80" s="1083"/>
      <c r="T80" s="1083"/>
      <c r="U80" s="1083"/>
      <c r="V80" s="1083"/>
      <c r="W80" s="1559"/>
      <c r="X80" s="1083"/>
      <c r="Y80" s="1083"/>
      <c r="Z80" s="480"/>
      <c r="AA80" s="1083"/>
      <c r="AB80" s="1083"/>
      <c r="AC80" s="1083"/>
      <c r="AD80" s="1083"/>
      <c r="AE80" s="1083"/>
      <c r="AF80" s="1555"/>
      <c r="AG80" s="502"/>
      <c r="AH80" s="502"/>
      <c r="AI80" s="502"/>
      <c r="AJ80" s="502"/>
      <c r="AK80" s="1564">
        <v>11</v>
      </c>
    </row>
    <row r="81" spans="1:37" s="1564" customFormat="1" ht="11.45" customHeight="1">
      <c r="A81" s="914"/>
      <c r="B81" s="1559"/>
      <c r="C81" s="1559"/>
      <c r="D81" s="287"/>
      <c r="P81" s="1083"/>
      <c r="Q81" s="1559"/>
      <c r="R81" s="1559"/>
      <c r="S81" s="1083"/>
      <c r="T81" s="1083"/>
      <c r="U81" s="1083"/>
      <c r="V81" s="1083"/>
      <c r="W81" s="1559"/>
      <c r="X81" s="1083"/>
      <c r="Y81" s="1083"/>
      <c r="Z81" s="480"/>
      <c r="AA81" s="1083"/>
      <c r="AB81" s="1083"/>
      <c r="AC81" s="1083"/>
      <c r="AD81" s="1083"/>
      <c r="AE81" s="1083"/>
      <c r="AF81" s="1555"/>
      <c r="AG81" s="502"/>
      <c r="AH81" s="502"/>
      <c r="AI81" s="502"/>
      <c r="AJ81" s="502"/>
      <c r="AK81" s="1564">
        <v>11</v>
      </c>
    </row>
    <row r="82" spans="1:37" s="1564" customFormat="1" ht="11.45" customHeight="1">
      <c r="A82" s="914"/>
      <c r="B82" s="1559"/>
      <c r="C82" s="1559"/>
      <c r="D82" s="287"/>
      <c r="P82" s="1083"/>
      <c r="Q82" s="1559"/>
      <c r="R82" s="1559"/>
      <c r="S82" s="1083"/>
      <c r="T82" s="1083"/>
      <c r="U82" s="1083"/>
      <c r="V82" s="1083"/>
      <c r="W82" s="1559"/>
      <c r="X82" s="1083"/>
      <c r="Y82" s="1083"/>
      <c r="Z82" s="480"/>
      <c r="AA82" s="1083"/>
      <c r="AB82" s="1083"/>
      <c r="AC82" s="1083"/>
      <c r="AD82" s="1083"/>
      <c r="AE82" s="1083"/>
      <c r="AF82" s="1555"/>
      <c r="AG82" s="502"/>
      <c r="AH82" s="502"/>
      <c r="AI82" s="502"/>
      <c r="AJ82" s="502"/>
      <c r="AK82" s="1564">
        <v>11</v>
      </c>
    </row>
    <row r="83" spans="1:37" s="1564" customFormat="1" ht="11.45" customHeight="1">
      <c r="A83" s="914"/>
      <c r="B83" s="1559"/>
      <c r="C83" s="1559"/>
      <c r="D83" s="287"/>
      <c r="P83" s="1083"/>
      <c r="Q83" s="1559"/>
      <c r="R83" s="1559"/>
      <c r="S83" s="1083"/>
      <c r="T83" s="1083"/>
      <c r="U83" s="1083"/>
      <c r="V83" s="1083"/>
      <c r="W83" s="1559"/>
      <c r="X83" s="1083"/>
      <c r="Y83" s="1083"/>
      <c r="Z83" s="480"/>
      <c r="AA83" s="1083"/>
      <c r="AB83" s="1083"/>
      <c r="AC83" s="1083"/>
      <c r="AD83" s="1083"/>
      <c r="AE83" s="1083"/>
      <c r="AF83" s="1555"/>
      <c r="AG83" s="502"/>
      <c r="AH83" s="502"/>
      <c r="AI83" s="502"/>
      <c r="AJ83" s="502"/>
      <c r="AK83" s="1564">
        <v>11</v>
      </c>
    </row>
    <row r="84" spans="1:37" s="1564" customFormat="1" ht="11.45" customHeight="1">
      <c r="A84" s="914"/>
      <c r="B84" s="1559"/>
      <c r="C84" s="1559"/>
      <c r="D84" s="287"/>
      <c r="P84" s="1083"/>
      <c r="Q84" s="1559"/>
      <c r="R84" s="1559"/>
      <c r="S84" s="1083"/>
      <c r="T84" s="1083"/>
      <c r="U84" s="1083"/>
      <c r="V84" s="1083"/>
      <c r="W84" s="1559"/>
      <c r="X84" s="1083"/>
      <c r="Y84" s="1083"/>
      <c r="Z84" s="480"/>
      <c r="AA84" s="1083"/>
      <c r="AB84" s="1083"/>
      <c r="AC84" s="1083"/>
      <c r="AD84" s="1083"/>
      <c r="AE84" s="1083"/>
      <c r="AF84" s="1555"/>
      <c r="AG84" s="502"/>
      <c r="AH84" s="502"/>
      <c r="AI84" s="502"/>
      <c r="AJ84" s="502"/>
      <c r="AK84" s="1564">
        <v>11</v>
      </c>
    </row>
    <row r="85" spans="1:37" s="1564" customFormat="1" ht="11.45" customHeight="1">
      <c r="A85" s="914"/>
      <c r="B85" s="1559"/>
      <c r="C85" s="1559"/>
      <c r="D85" s="287"/>
      <c r="P85" s="1083"/>
      <c r="Q85" s="1559"/>
      <c r="R85" s="1559"/>
      <c r="S85" s="1083"/>
      <c r="T85" s="1083"/>
      <c r="U85" s="1083"/>
      <c r="V85" s="1083"/>
      <c r="W85" s="1559"/>
      <c r="X85" s="1083"/>
      <c r="Y85" s="1083"/>
      <c r="Z85" s="480"/>
      <c r="AA85" s="1083"/>
      <c r="AB85" s="1083"/>
      <c r="AC85" s="1083"/>
      <c r="AD85" s="1083"/>
      <c r="AE85" s="1083"/>
      <c r="AF85" s="1555"/>
      <c r="AG85" s="502"/>
      <c r="AH85" s="502"/>
      <c r="AI85" s="502"/>
      <c r="AJ85" s="502"/>
      <c r="AK85" s="1564">
        <v>11</v>
      </c>
    </row>
    <row r="86" spans="1:37" s="1564" customFormat="1" ht="11.45" customHeight="1">
      <c r="A86" s="914"/>
      <c r="B86" s="1559"/>
      <c r="C86" s="1559"/>
      <c r="D86" s="287"/>
      <c r="P86" s="1083"/>
      <c r="Q86" s="1559"/>
      <c r="R86" s="1559"/>
      <c r="S86" s="1083"/>
      <c r="T86" s="1083"/>
      <c r="U86" s="1083"/>
      <c r="V86" s="1083"/>
      <c r="W86" s="1559"/>
      <c r="X86" s="1083"/>
      <c r="Y86" s="1083"/>
      <c r="Z86" s="480"/>
      <c r="AA86" s="1083"/>
      <c r="AB86" s="1083"/>
      <c r="AC86" s="1083"/>
      <c r="AD86" s="1083"/>
      <c r="AE86" s="1083"/>
      <c r="AF86" s="1555"/>
      <c r="AG86" s="502"/>
      <c r="AH86" s="502"/>
      <c r="AI86" s="502"/>
      <c r="AJ86" s="502"/>
      <c r="AK86" s="1564">
        <v>11</v>
      </c>
    </row>
    <row r="87" spans="1:37" s="1564" customFormat="1" ht="11.45" customHeight="1">
      <c r="A87" s="914"/>
      <c r="B87" s="1559"/>
      <c r="C87" s="1559"/>
      <c r="D87" s="287"/>
      <c r="P87" s="1083"/>
      <c r="Q87" s="1559"/>
      <c r="R87" s="1559"/>
      <c r="S87" s="1083"/>
      <c r="T87" s="1083"/>
      <c r="U87" s="1083"/>
      <c r="V87" s="1083"/>
      <c r="W87" s="1559"/>
      <c r="X87" s="1083"/>
      <c r="Y87" s="1083"/>
      <c r="Z87" s="480"/>
      <c r="AA87" s="1083"/>
      <c r="AB87" s="1083"/>
      <c r="AC87" s="1083"/>
      <c r="AD87" s="1083"/>
      <c r="AE87" s="1083"/>
      <c r="AF87" s="1555"/>
      <c r="AG87" s="502"/>
      <c r="AH87" s="502"/>
      <c r="AI87" s="502"/>
      <c r="AJ87" s="502"/>
      <c r="AK87" s="1564">
        <v>11</v>
      </c>
    </row>
    <row r="88" spans="1:37" s="1564" customFormat="1" ht="11.45" customHeight="1">
      <c r="A88" s="914"/>
      <c r="B88" s="1559"/>
      <c r="C88" s="1559"/>
      <c r="D88" s="287"/>
      <c r="P88" s="1083"/>
      <c r="Q88" s="1559"/>
      <c r="R88" s="1559"/>
      <c r="S88" s="1083"/>
      <c r="T88" s="1083"/>
      <c r="U88" s="1083"/>
      <c r="V88" s="1083"/>
      <c r="W88" s="1559"/>
      <c r="X88" s="1083"/>
      <c r="Y88" s="1083"/>
      <c r="Z88" s="480"/>
      <c r="AA88" s="1083"/>
      <c r="AB88" s="1083"/>
      <c r="AC88" s="1083"/>
      <c r="AD88" s="1083"/>
      <c r="AE88" s="1083"/>
      <c r="AF88" s="1555"/>
      <c r="AG88" s="502"/>
      <c r="AH88" s="502"/>
      <c r="AI88" s="502"/>
      <c r="AJ88" s="502"/>
      <c r="AK88" s="1564">
        <v>11</v>
      </c>
    </row>
    <row r="89" spans="1:37" s="1564" customFormat="1" ht="11.45" customHeight="1">
      <c r="A89" s="914"/>
      <c r="B89" s="1559"/>
      <c r="C89" s="1559"/>
      <c r="D89" s="287"/>
      <c r="P89" s="1083"/>
      <c r="Q89" s="1559"/>
      <c r="R89" s="1559"/>
      <c r="S89" s="1083"/>
      <c r="T89" s="1083"/>
      <c r="U89" s="1083"/>
      <c r="V89" s="1083"/>
      <c r="W89" s="1559"/>
      <c r="X89" s="1083"/>
      <c r="Y89" s="1083"/>
      <c r="Z89" s="480"/>
      <c r="AA89" s="1083"/>
      <c r="AB89" s="1083"/>
      <c r="AC89" s="1083"/>
      <c r="AD89" s="1083"/>
      <c r="AE89" s="1083"/>
      <c r="AF89" s="1555"/>
      <c r="AG89" s="502"/>
      <c r="AH89" s="502"/>
      <c r="AI89" s="502"/>
      <c r="AJ89" s="502"/>
      <c r="AK89" s="1564">
        <v>11</v>
      </c>
    </row>
    <row r="90" spans="1:37" s="1564" customFormat="1" ht="11.45" customHeight="1">
      <c r="A90" s="914"/>
      <c r="B90" s="1559"/>
      <c r="C90" s="1559"/>
      <c r="D90" s="287"/>
      <c r="P90" s="1083"/>
      <c r="Q90" s="1559"/>
      <c r="R90" s="1559"/>
      <c r="S90" s="1083"/>
      <c r="T90" s="1083"/>
      <c r="U90" s="1083"/>
      <c r="V90" s="1083"/>
      <c r="W90" s="1559"/>
      <c r="X90" s="1083"/>
      <c r="Y90" s="1083"/>
      <c r="Z90" s="480"/>
      <c r="AA90" s="1083"/>
      <c r="AB90" s="1083"/>
      <c r="AC90" s="1083"/>
      <c r="AD90" s="1083"/>
      <c r="AE90" s="1083"/>
      <c r="AF90" s="1555"/>
      <c r="AG90" s="502"/>
      <c r="AH90" s="502"/>
      <c r="AI90" s="502"/>
      <c r="AJ90" s="502"/>
      <c r="AK90" s="1564">
        <v>11</v>
      </c>
    </row>
    <row r="91" spans="1:37" s="1564" customFormat="1" ht="11.45" customHeight="1">
      <c r="A91" s="914"/>
      <c r="B91" s="1559"/>
      <c r="C91" s="1559"/>
      <c r="D91" s="287"/>
      <c r="P91" s="1083"/>
      <c r="Q91" s="1559"/>
      <c r="R91" s="1559"/>
      <c r="S91" s="1083"/>
      <c r="T91" s="1083"/>
      <c r="U91" s="1083"/>
      <c r="V91" s="1083"/>
      <c r="W91" s="1559"/>
      <c r="X91" s="1083"/>
      <c r="Y91" s="1083"/>
      <c r="Z91" s="480"/>
      <c r="AA91" s="1083"/>
      <c r="AB91" s="1083"/>
      <c r="AC91" s="1083"/>
      <c r="AD91" s="1083"/>
      <c r="AE91" s="1083"/>
      <c r="AF91" s="1555"/>
      <c r="AG91" s="502"/>
      <c r="AH91" s="502"/>
      <c r="AI91" s="502"/>
      <c r="AJ91" s="502"/>
      <c r="AK91" s="1564">
        <v>11</v>
      </c>
    </row>
    <row r="92" spans="1:37" s="1564" customFormat="1" ht="11.45" customHeight="1">
      <c r="A92" s="914"/>
      <c r="B92" s="1559"/>
      <c r="C92" s="1559"/>
      <c r="D92" s="287"/>
      <c r="P92" s="1083"/>
      <c r="Q92" s="1559"/>
      <c r="R92" s="1559"/>
      <c r="S92" s="1083"/>
      <c r="T92" s="1083"/>
      <c r="U92" s="1083"/>
      <c r="V92" s="1083"/>
      <c r="W92" s="1559"/>
      <c r="X92" s="1083"/>
      <c r="Y92" s="1083"/>
      <c r="Z92" s="480"/>
      <c r="AA92" s="1083"/>
      <c r="AB92" s="1083"/>
      <c r="AC92" s="1083"/>
      <c r="AD92" s="1083"/>
      <c r="AE92" s="1083"/>
      <c r="AF92" s="1555"/>
      <c r="AG92" s="502"/>
      <c r="AH92" s="502"/>
      <c r="AI92" s="502"/>
      <c r="AJ92" s="502"/>
      <c r="AK92" s="1564">
        <v>11</v>
      </c>
    </row>
    <row r="93" spans="1:37" s="1564" customFormat="1" ht="11.45" customHeight="1">
      <c r="A93" s="914"/>
      <c r="B93" s="1559"/>
      <c r="C93" s="1559"/>
      <c r="D93" s="287"/>
      <c r="P93" s="1083"/>
      <c r="Q93" s="1559"/>
      <c r="R93" s="1559"/>
      <c r="S93" s="1083"/>
      <c r="T93" s="1083"/>
      <c r="U93" s="1083"/>
      <c r="V93" s="1083"/>
      <c r="W93" s="1559"/>
      <c r="X93" s="1083"/>
      <c r="Y93" s="1083"/>
      <c r="Z93" s="480"/>
      <c r="AA93" s="1083"/>
      <c r="AB93" s="1083"/>
      <c r="AC93" s="1083"/>
      <c r="AD93" s="1083"/>
      <c r="AE93" s="1083"/>
      <c r="AF93" s="1555"/>
      <c r="AG93" s="502"/>
      <c r="AH93" s="502"/>
      <c r="AI93" s="502"/>
      <c r="AJ93" s="502"/>
      <c r="AK93" s="1564">
        <v>11</v>
      </c>
    </row>
    <row r="94" spans="1:37" s="1564" customFormat="1" ht="11.45" customHeight="1">
      <c r="A94" s="914"/>
      <c r="B94" s="1559"/>
      <c r="C94" s="1559"/>
      <c r="D94" s="287"/>
      <c r="P94" s="1083"/>
      <c r="Q94" s="1559"/>
      <c r="R94" s="1559"/>
      <c r="S94" s="1083"/>
      <c r="T94" s="1083"/>
      <c r="U94" s="1083"/>
      <c r="V94" s="1083"/>
      <c r="W94" s="1559"/>
      <c r="X94" s="1083"/>
      <c r="Y94" s="1083"/>
      <c r="Z94" s="480"/>
      <c r="AA94" s="1083"/>
      <c r="AB94" s="1083"/>
      <c r="AC94" s="1083"/>
      <c r="AD94" s="1083"/>
      <c r="AE94" s="1083"/>
      <c r="AF94" s="1555"/>
      <c r="AG94" s="502"/>
      <c r="AH94" s="502"/>
      <c r="AI94" s="502"/>
      <c r="AJ94" s="502"/>
      <c r="AK94" s="1564">
        <v>11</v>
      </c>
    </row>
    <row r="95" spans="1:37" s="1564" customFormat="1" ht="11.45" customHeight="1">
      <c r="A95" s="914"/>
      <c r="B95" s="1559"/>
      <c r="C95" s="1559"/>
      <c r="D95" s="287"/>
      <c r="P95" s="1083"/>
      <c r="Q95" s="1559"/>
      <c r="R95" s="1559"/>
      <c r="S95" s="1083"/>
      <c r="T95" s="1083"/>
      <c r="U95" s="1083"/>
      <c r="V95" s="1083"/>
      <c r="W95" s="1559"/>
      <c r="X95" s="1083"/>
      <c r="Y95" s="1083"/>
      <c r="Z95" s="480"/>
      <c r="AA95" s="1083"/>
      <c r="AB95" s="1083"/>
      <c r="AC95" s="1083"/>
      <c r="AD95" s="1083"/>
      <c r="AE95" s="1083"/>
      <c r="AF95" s="1555"/>
      <c r="AG95" s="502"/>
      <c r="AH95" s="502"/>
      <c r="AI95" s="502"/>
      <c r="AJ95" s="502"/>
      <c r="AK95" s="1564">
        <v>11</v>
      </c>
    </row>
    <row r="96" spans="1:37" s="1564" customFormat="1" ht="11.45" customHeight="1">
      <c r="A96" s="914"/>
      <c r="B96" s="1559"/>
      <c r="C96" s="1559"/>
      <c r="D96" s="287"/>
      <c r="P96" s="1083"/>
      <c r="Q96" s="1559"/>
      <c r="R96" s="1559"/>
      <c r="S96" s="1083"/>
      <c r="T96" s="1083"/>
      <c r="U96" s="1083"/>
      <c r="V96" s="1083"/>
      <c r="W96" s="1559"/>
      <c r="X96" s="1083"/>
      <c r="Y96" s="1083"/>
      <c r="Z96" s="480"/>
      <c r="AA96" s="1083"/>
      <c r="AB96" s="1083"/>
      <c r="AC96" s="1083"/>
      <c r="AD96" s="1083"/>
      <c r="AE96" s="1083"/>
      <c r="AF96" s="1555"/>
      <c r="AG96" s="502"/>
      <c r="AH96" s="502"/>
      <c r="AI96" s="502"/>
      <c r="AJ96" s="502"/>
      <c r="AK96" s="1564">
        <v>11</v>
      </c>
    </row>
    <row r="97" spans="1:37" s="1564" customFormat="1" ht="11.45" customHeight="1">
      <c r="A97" s="914"/>
      <c r="B97" s="1559"/>
      <c r="C97" s="1559"/>
      <c r="D97" s="287"/>
      <c r="P97" s="1083"/>
      <c r="Q97" s="1559"/>
      <c r="R97" s="1559"/>
      <c r="S97" s="1083"/>
      <c r="T97" s="1083"/>
      <c r="U97" s="1083"/>
      <c r="V97" s="1083"/>
      <c r="W97" s="1559"/>
      <c r="X97" s="1083"/>
      <c r="Y97" s="1083"/>
      <c r="Z97" s="480"/>
      <c r="AA97" s="1083"/>
      <c r="AB97" s="1083"/>
      <c r="AC97" s="1083"/>
      <c r="AD97" s="1083"/>
      <c r="AE97" s="1083"/>
      <c r="AF97" s="1555"/>
      <c r="AG97" s="502"/>
      <c r="AH97" s="502"/>
      <c r="AI97" s="502"/>
      <c r="AJ97" s="502"/>
      <c r="AK97" s="1564">
        <v>11</v>
      </c>
    </row>
    <row r="98" spans="1:37" s="1564" customFormat="1" ht="11.45" customHeight="1">
      <c r="A98" s="914"/>
      <c r="B98" s="1559"/>
      <c r="C98" s="1559"/>
      <c r="D98" s="287"/>
      <c r="P98" s="1083"/>
      <c r="Q98" s="1559"/>
      <c r="R98" s="1559"/>
      <c r="S98" s="1083"/>
      <c r="T98" s="1083"/>
      <c r="U98" s="1083"/>
      <c r="V98" s="1083"/>
      <c r="W98" s="1559"/>
      <c r="X98" s="1083"/>
      <c r="Y98" s="1083"/>
      <c r="Z98" s="480"/>
      <c r="AA98" s="1083"/>
      <c r="AB98" s="1083"/>
      <c r="AC98" s="1083"/>
      <c r="AD98" s="1083"/>
      <c r="AE98" s="1083"/>
      <c r="AF98" s="1555"/>
      <c r="AG98" s="502"/>
      <c r="AH98" s="502"/>
      <c r="AI98" s="502"/>
      <c r="AJ98" s="502"/>
      <c r="AK98" s="1564">
        <v>11</v>
      </c>
    </row>
    <row r="99" spans="1:37" s="1564" customFormat="1" ht="11.45" customHeight="1">
      <c r="A99" s="914"/>
      <c r="B99" s="1559"/>
      <c r="C99" s="1559"/>
      <c r="D99" s="287"/>
      <c r="P99" s="1083"/>
      <c r="Q99" s="1559"/>
      <c r="R99" s="1559"/>
      <c r="S99" s="1083"/>
      <c r="T99" s="1083"/>
      <c r="U99" s="1083"/>
      <c r="V99" s="1083"/>
      <c r="W99" s="1559"/>
      <c r="X99" s="1083"/>
      <c r="Y99" s="1083"/>
      <c r="Z99" s="480"/>
      <c r="AA99" s="1083"/>
      <c r="AB99" s="1083"/>
      <c r="AC99" s="1083"/>
      <c r="AD99" s="1083"/>
      <c r="AE99" s="1083"/>
      <c r="AF99" s="1555"/>
      <c r="AG99" s="502"/>
      <c r="AH99" s="502"/>
      <c r="AI99" s="502"/>
      <c r="AJ99" s="502"/>
      <c r="AK99" s="1564">
        <v>11</v>
      </c>
    </row>
    <row r="100" spans="1:37" s="1564" customFormat="1" ht="11.45" customHeight="1">
      <c r="A100" s="914"/>
      <c r="B100" s="1559"/>
      <c r="C100" s="1559"/>
      <c r="D100" s="287"/>
      <c r="P100" s="1083"/>
      <c r="Q100" s="1559"/>
      <c r="R100" s="1559"/>
      <c r="S100" s="1083"/>
      <c r="T100" s="1083"/>
      <c r="U100" s="1083"/>
      <c r="V100" s="1083"/>
      <c r="W100" s="1559"/>
      <c r="X100" s="1083"/>
      <c r="Y100" s="1083"/>
      <c r="Z100" s="480"/>
      <c r="AA100" s="1083"/>
      <c r="AB100" s="1083"/>
      <c r="AC100" s="1083"/>
      <c r="AD100" s="1083"/>
      <c r="AE100" s="1083"/>
      <c r="AF100" s="1555"/>
      <c r="AG100" s="502"/>
      <c r="AH100" s="502"/>
      <c r="AI100" s="502"/>
      <c r="AJ100" s="502"/>
      <c r="AK100" s="1564">
        <v>11</v>
      </c>
    </row>
    <row r="101" spans="1:37" s="1564" customFormat="1" ht="11.45" customHeight="1">
      <c r="A101" s="914"/>
      <c r="B101" s="1559"/>
      <c r="C101" s="1559"/>
      <c r="D101" s="287"/>
      <c r="P101" s="1083"/>
      <c r="Q101" s="1559"/>
      <c r="R101" s="1559"/>
      <c r="S101" s="1083"/>
      <c r="T101" s="1083"/>
      <c r="U101" s="1083"/>
      <c r="V101" s="1083"/>
      <c r="W101" s="1559"/>
      <c r="X101" s="1083"/>
      <c r="Y101" s="1083"/>
      <c r="Z101" s="480"/>
      <c r="AA101" s="1083"/>
      <c r="AB101" s="1083"/>
      <c r="AC101" s="1083"/>
      <c r="AD101" s="1083"/>
      <c r="AE101" s="1083"/>
      <c r="AF101" s="1555"/>
      <c r="AG101" s="502"/>
      <c r="AH101" s="502"/>
      <c r="AI101" s="502"/>
      <c r="AJ101" s="502"/>
      <c r="AK101" s="1564">
        <v>11</v>
      </c>
    </row>
    <row r="102" spans="1:37" s="1564" customFormat="1" ht="11.45" customHeight="1">
      <c r="A102" s="914"/>
      <c r="B102" s="1559"/>
      <c r="C102" s="1559"/>
      <c r="D102" s="287"/>
      <c r="P102" s="1083"/>
      <c r="Q102" s="1559"/>
      <c r="R102" s="1559"/>
      <c r="S102" s="1083"/>
      <c r="T102" s="1083"/>
      <c r="U102" s="1083"/>
      <c r="V102" s="1083"/>
      <c r="W102" s="1559"/>
      <c r="X102" s="1083"/>
      <c r="Y102" s="1083"/>
      <c r="Z102" s="480"/>
      <c r="AA102" s="1083"/>
      <c r="AB102" s="1083"/>
      <c r="AC102" s="1083"/>
      <c r="AD102" s="1083"/>
      <c r="AE102" s="1083"/>
      <c r="AF102" s="1555"/>
      <c r="AG102" s="502"/>
      <c r="AH102" s="502"/>
      <c r="AI102" s="502"/>
      <c r="AJ102" s="502"/>
      <c r="AK102" s="1564">
        <v>11</v>
      </c>
    </row>
    <row r="103" spans="1:37" s="1564" customFormat="1" ht="11.45" customHeight="1">
      <c r="A103" s="914"/>
      <c r="B103" s="1559"/>
      <c r="C103" s="1559"/>
      <c r="D103" s="287"/>
      <c r="P103" s="1083"/>
      <c r="Q103" s="1559"/>
      <c r="R103" s="1559"/>
      <c r="S103" s="1083"/>
      <c r="T103" s="1083"/>
      <c r="U103" s="1083"/>
      <c r="V103" s="1083"/>
      <c r="W103" s="1559"/>
      <c r="X103" s="1083"/>
      <c r="Y103" s="1083"/>
      <c r="Z103" s="480"/>
      <c r="AA103" s="1083"/>
      <c r="AB103" s="1083"/>
      <c r="AC103" s="1083"/>
      <c r="AD103" s="1083"/>
      <c r="AE103" s="1083"/>
      <c r="AF103" s="1555"/>
      <c r="AG103" s="502"/>
      <c r="AH103" s="502"/>
      <c r="AI103" s="502"/>
      <c r="AJ103" s="502"/>
      <c r="AK103" s="1564">
        <v>11</v>
      </c>
    </row>
    <row r="104" spans="1:37" s="1564" customFormat="1" ht="11.45" customHeight="1">
      <c r="A104" s="914"/>
      <c r="B104" s="1559"/>
      <c r="C104" s="1559"/>
      <c r="D104" s="287"/>
      <c r="P104" s="1083"/>
      <c r="Q104" s="1559"/>
      <c r="R104" s="1559"/>
      <c r="S104" s="1083"/>
      <c r="T104" s="1083"/>
      <c r="U104" s="1083"/>
      <c r="V104" s="1083"/>
      <c r="W104" s="1559"/>
      <c r="X104" s="1083"/>
      <c r="Y104" s="1083"/>
      <c r="Z104" s="480"/>
      <c r="AA104" s="1083"/>
      <c r="AB104" s="1083"/>
      <c r="AC104" s="1083"/>
      <c r="AD104" s="1083"/>
      <c r="AE104" s="1083"/>
      <c r="AF104" s="1555"/>
      <c r="AG104" s="502"/>
      <c r="AH104" s="502"/>
      <c r="AI104" s="502"/>
      <c r="AJ104" s="502"/>
      <c r="AK104" s="1564">
        <v>11</v>
      </c>
    </row>
    <row r="105" spans="1:37" s="1564" customFormat="1" ht="11.45" customHeight="1">
      <c r="A105" s="914"/>
      <c r="B105" s="1559"/>
      <c r="C105" s="1559"/>
      <c r="D105" s="287"/>
      <c r="P105" s="1083"/>
      <c r="Q105" s="1559"/>
      <c r="R105" s="1559"/>
      <c r="S105" s="1083"/>
      <c r="T105" s="1083"/>
      <c r="U105" s="1083"/>
      <c r="V105" s="1083"/>
      <c r="W105" s="1559"/>
      <c r="X105" s="1083"/>
      <c r="Y105" s="1083"/>
      <c r="Z105" s="480"/>
      <c r="AA105" s="1083"/>
      <c r="AB105" s="1083"/>
      <c r="AC105" s="1083"/>
      <c r="AD105" s="1083"/>
      <c r="AE105" s="1083"/>
      <c r="AF105" s="1555"/>
      <c r="AG105" s="502"/>
      <c r="AH105" s="502"/>
      <c r="AI105" s="502"/>
      <c r="AJ105" s="502"/>
      <c r="AK105" s="1564">
        <v>11</v>
      </c>
    </row>
    <row r="106" spans="1:37" s="1564" customFormat="1" ht="11.45" customHeight="1">
      <c r="A106" s="914"/>
      <c r="B106" s="1559"/>
      <c r="C106" s="1559"/>
      <c r="D106" s="287"/>
      <c r="P106" s="1083"/>
      <c r="Q106" s="1559"/>
      <c r="R106" s="1559"/>
      <c r="S106" s="1083"/>
      <c r="T106" s="1083"/>
      <c r="U106" s="1083"/>
      <c r="V106" s="1083"/>
      <c r="W106" s="1559"/>
      <c r="X106" s="1083"/>
      <c r="Y106" s="1083"/>
      <c r="Z106" s="480"/>
      <c r="AA106" s="1083"/>
      <c r="AB106" s="1083"/>
      <c r="AC106" s="1083"/>
      <c r="AD106" s="1083"/>
      <c r="AE106" s="1083"/>
      <c r="AF106" s="1555"/>
      <c r="AG106" s="502"/>
      <c r="AH106" s="502"/>
      <c r="AI106" s="502"/>
      <c r="AJ106" s="502"/>
      <c r="AK106" s="1564">
        <v>11</v>
      </c>
    </row>
    <row r="107" spans="1:37" s="1564" customFormat="1" ht="11.45" customHeight="1">
      <c r="A107" s="914"/>
      <c r="B107" s="1559"/>
      <c r="C107" s="1559"/>
      <c r="D107" s="287"/>
      <c r="P107" s="1083"/>
      <c r="Q107" s="1559"/>
      <c r="R107" s="1559"/>
      <c r="S107" s="1083"/>
      <c r="T107" s="1083"/>
      <c r="U107" s="1083"/>
      <c r="V107" s="1083"/>
      <c r="W107" s="1559"/>
      <c r="X107" s="1083"/>
      <c r="Y107" s="1083"/>
      <c r="Z107" s="480"/>
      <c r="AA107" s="1083"/>
      <c r="AB107" s="1083"/>
      <c r="AC107" s="1083"/>
      <c r="AD107" s="1083"/>
      <c r="AE107" s="1083"/>
      <c r="AF107" s="1555"/>
      <c r="AG107" s="502"/>
      <c r="AH107" s="502"/>
      <c r="AI107" s="502"/>
      <c r="AJ107" s="502"/>
      <c r="AK107" s="1564">
        <v>11</v>
      </c>
    </row>
    <row r="108" spans="1:37" s="1564" customFormat="1" ht="11.45" customHeight="1">
      <c r="A108" s="914"/>
      <c r="B108" s="1559"/>
      <c r="C108" s="1559"/>
      <c r="D108" s="287"/>
      <c r="P108" s="1083"/>
      <c r="Q108" s="1559"/>
      <c r="R108" s="1559"/>
      <c r="S108" s="1083"/>
      <c r="T108" s="1083"/>
      <c r="U108" s="1083"/>
      <c r="V108" s="1083"/>
      <c r="W108" s="1559"/>
      <c r="X108" s="1083"/>
      <c r="Y108" s="1083"/>
      <c r="Z108" s="480"/>
      <c r="AA108" s="1083"/>
      <c r="AB108" s="1083"/>
      <c r="AC108" s="1083"/>
      <c r="AD108" s="1083"/>
      <c r="AE108" s="1083"/>
      <c r="AF108" s="1555"/>
      <c r="AG108" s="502"/>
      <c r="AH108" s="502"/>
      <c r="AI108" s="502"/>
      <c r="AJ108" s="502"/>
      <c r="AK108" s="1564">
        <v>11</v>
      </c>
    </row>
    <row r="109" spans="1:37" s="1564" customFormat="1" ht="11.45" customHeight="1">
      <c r="A109" s="914"/>
      <c r="B109" s="1559"/>
      <c r="C109" s="1559"/>
      <c r="D109" s="287"/>
      <c r="P109" s="1083"/>
      <c r="Q109" s="1559"/>
      <c r="R109" s="1559"/>
      <c r="S109" s="1083"/>
      <c r="T109" s="1083"/>
      <c r="U109" s="1083"/>
      <c r="V109" s="1083"/>
      <c r="W109" s="1559"/>
      <c r="X109" s="1083"/>
      <c r="Y109" s="1083"/>
      <c r="Z109" s="480"/>
      <c r="AA109" s="1083"/>
      <c r="AB109" s="1083"/>
      <c r="AC109" s="1083"/>
      <c r="AD109" s="1083"/>
      <c r="AE109" s="1083"/>
      <c r="AF109" s="1555"/>
      <c r="AG109" s="502"/>
      <c r="AH109" s="502"/>
      <c r="AI109" s="502"/>
      <c r="AJ109" s="502"/>
      <c r="AK109" s="1564">
        <v>11</v>
      </c>
    </row>
    <row r="110" spans="1:37" s="1564" customFormat="1" ht="11.45" customHeight="1">
      <c r="A110" s="914"/>
      <c r="B110" s="1559"/>
      <c r="C110" s="1559"/>
      <c r="D110" s="287"/>
      <c r="P110" s="1083"/>
      <c r="Q110" s="1559"/>
      <c r="R110" s="1559"/>
      <c r="S110" s="1083"/>
      <c r="T110" s="1083"/>
      <c r="U110" s="1083"/>
      <c r="V110" s="1083"/>
      <c r="W110" s="1559"/>
      <c r="X110" s="1083"/>
      <c r="Y110" s="1083"/>
      <c r="Z110" s="480"/>
      <c r="AA110" s="1083"/>
      <c r="AB110" s="1083"/>
      <c r="AC110" s="1083"/>
      <c r="AD110" s="1083"/>
      <c r="AE110" s="1083"/>
      <c r="AF110" s="1555"/>
      <c r="AG110" s="502"/>
      <c r="AH110" s="502"/>
      <c r="AI110" s="502"/>
      <c r="AJ110" s="502"/>
      <c r="AK110" s="1564">
        <v>11</v>
      </c>
    </row>
    <row r="111" spans="1:37" s="1564" customFormat="1" ht="11.45" customHeight="1">
      <c r="A111" s="914"/>
      <c r="B111" s="1559"/>
      <c r="C111" s="1559"/>
      <c r="D111" s="287"/>
      <c r="P111" s="1083"/>
      <c r="Q111" s="1559"/>
      <c r="R111" s="1559"/>
      <c r="S111" s="1083"/>
      <c r="T111" s="1083"/>
      <c r="U111" s="1083"/>
      <c r="V111" s="1083"/>
      <c r="W111" s="1559"/>
      <c r="X111" s="1083"/>
      <c r="Y111" s="1083"/>
      <c r="Z111" s="480"/>
      <c r="AA111" s="1083"/>
      <c r="AB111" s="1083"/>
      <c r="AC111" s="1083"/>
      <c r="AD111" s="1083"/>
      <c r="AE111" s="1083"/>
      <c r="AF111" s="1555"/>
      <c r="AG111" s="502"/>
      <c r="AH111" s="502"/>
      <c r="AI111" s="502"/>
      <c r="AJ111" s="502"/>
      <c r="AK111" s="1564">
        <v>11</v>
      </c>
    </row>
    <row r="112" spans="1:37" s="1564" customFormat="1" ht="11.45" customHeight="1">
      <c r="A112" s="914"/>
      <c r="B112" s="1559"/>
      <c r="C112" s="1559"/>
      <c r="D112" s="287"/>
      <c r="P112" s="1083"/>
      <c r="Q112" s="1559"/>
      <c r="R112" s="1559"/>
      <c r="S112" s="1083"/>
      <c r="T112" s="1083"/>
      <c r="U112" s="1083"/>
      <c r="V112" s="1083"/>
      <c r="W112" s="1559"/>
      <c r="X112" s="1083"/>
      <c r="Y112" s="1083"/>
      <c r="Z112" s="480"/>
      <c r="AA112" s="1083"/>
      <c r="AB112" s="1083"/>
      <c r="AC112" s="1083"/>
      <c r="AD112" s="1083"/>
      <c r="AE112" s="1083"/>
      <c r="AF112" s="1555"/>
      <c r="AG112" s="502"/>
      <c r="AH112" s="502"/>
      <c r="AI112" s="502"/>
      <c r="AJ112" s="502"/>
      <c r="AK112" s="1564">
        <v>11</v>
      </c>
    </row>
    <row r="113" spans="1:37" s="1564" customFormat="1" ht="11.45" customHeight="1">
      <c r="A113" s="914"/>
      <c r="B113" s="1559"/>
      <c r="C113" s="1559"/>
      <c r="D113" s="287"/>
      <c r="P113" s="1083"/>
      <c r="Q113" s="1559"/>
      <c r="R113" s="1559"/>
      <c r="S113" s="1083"/>
      <c r="T113" s="1083"/>
      <c r="U113" s="1083"/>
      <c r="V113" s="1083"/>
      <c r="W113" s="1559"/>
      <c r="X113" s="1083"/>
      <c r="Y113" s="1083"/>
      <c r="Z113" s="480"/>
      <c r="AA113" s="1083"/>
      <c r="AB113" s="1083"/>
      <c r="AC113" s="1083"/>
      <c r="AD113" s="1083"/>
      <c r="AE113" s="1083"/>
      <c r="AF113" s="1555"/>
      <c r="AG113" s="502"/>
      <c r="AH113" s="502"/>
      <c r="AI113" s="502"/>
      <c r="AJ113" s="502"/>
      <c r="AK113" s="1564">
        <v>11</v>
      </c>
    </row>
    <row r="114" spans="1:37" s="1564" customFormat="1" ht="11.45" customHeight="1">
      <c r="A114" s="914"/>
      <c r="B114" s="1559"/>
      <c r="C114" s="1559"/>
      <c r="D114" s="287"/>
      <c r="P114" s="1083"/>
      <c r="Q114" s="1559"/>
      <c r="R114" s="1559"/>
      <c r="S114" s="1083"/>
      <c r="T114" s="1083"/>
      <c r="U114" s="1083"/>
      <c r="V114" s="1083"/>
      <c r="W114" s="1559"/>
      <c r="X114" s="1083"/>
      <c r="Y114" s="1083"/>
      <c r="Z114" s="480"/>
      <c r="AA114" s="1083"/>
      <c r="AB114" s="1083"/>
      <c r="AC114" s="1083"/>
      <c r="AD114" s="1083"/>
      <c r="AE114" s="1083"/>
      <c r="AF114" s="1555"/>
      <c r="AG114" s="502"/>
      <c r="AH114" s="502"/>
      <c r="AI114" s="502"/>
      <c r="AJ114" s="502"/>
      <c r="AK114" s="1564">
        <v>11</v>
      </c>
    </row>
    <row r="115" spans="1:37" s="1564" customFormat="1" ht="11.45" customHeight="1">
      <c r="A115" s="914"/>
      <c r="B115" s="1559"/>
      <c r="C115" s="1559"/>
      <c r="D115" s="287"/>
      <c r="P115" s="1083"/>
      <c r="Q115" s="1559"/>
      <c r="R115" s="1559"/>
      <c r="S115" s="1083"/>
      <c r="T115" s="1083"/>
      <c r="U115" s="1083"/>
      <c r="V115" s="1083"/>
      <c r="W115" s="1559"/>
      <c r="X115" s="1083"/>
      <c r="Y115" s="1083"/>
      <c r="Z115" s="480"/>
      <c r="AA115" s="1083"/>
      <c r="AB115" s="1083"/>
      <c r="AC115" s="1083"/>
      <c r="AD115" s="1083"/>
      <c r="AE115" s="1083"/>
      <c r="AF115" s="1555"/>
      <c r="AG115" s="502"/>
      <c r="AH115" s="502"/>
      <c r="AI115" s="502"/>
      <c r="AJ115" s="502"/>
      <c r="AK115" s="1564">
        <v>11</v>
      </c>
    </row>
    <row r="116" spans="1:37" s="1564" customFormat="1" ht="11.45" customHeight="1">
      <c r="A116" s="914"/>
      <c r="B116" s="1559"/>
      <c r="C116" s="1559"/>
      <c r="D116" s="287"/>
      <c r="P116" s="1083"/>
      <c r="Q116" s="1559"/>
      <c r="R116" s="1559"/>
      <c r="S116" s="1083"/>
      <c r="T116" s="1083"/>
      <c r="U116" s="1083"/>
      <c r="V116" s="1083"/>
      <c r="W116" s="1559"/>
      <c r="X116" s="1083"/>
      <c r="Y116" s="1083"/>
      <c r="Z116" s="480"/>
      <c r="AA116" s="1083"/>
      <c r="AB116" s="1083"/>
      <c r="AC116" s="1083"/>
      <c r="AD116" s="1083"/>
      <c r="AE116" s="1083"/>
      <c r="AF116" s="1555"/>
      <c r="AG116" s="502"/>
      <c r="AH116" s="502"/>
      <c r="AI116" s="502"/>
      <c r="AJ116" s="502"/>
      <c r="AK116" s="1564">
        <v>11</v>
      </c>
    </row>
    <row r="117" spans="1:37" s="1564" customFormat="1" ht="11.45" customHeight="1">
      <c r="A117" s="914"/>
      <c r="B117" s="1559"/>
      <c r="C117" s="1559"/>
      <c r="D117" s="287"/>
      <c r="P117" s="1083"/>
      <c r="Q117" s="1559"/>
      <c r="R117" s="1559"/>
      <c r="S117" s="1083"/>
      <c r="T117" s="1083"/>
      <c r="U117" s="1083"/>
      <c r="V117" s="1083"/>
      <c r="W117" s="1559"/>
      <c r="X117" s="1083"/>
      <c r="Y117" s="1083"/>
      <c r="Z117" s="480"/>
      <c r="AA117" s="1083"/>
      <c r="AB117" s="1083"/>
      <c r="AC117" s="1083"/>
      <c r="AD117" s="1083"/>
      <c r="AE117" s="1083"/>
      <c r="AF117" s="1555"/>
      <c r="AG117" s="502"/>
      <c r="AH117" s="502"/>
      <c r="AI117" s="502"/>
      <c r="AJ117" s="502"/>
      <c r="AK117" s="1564">
        <v>11</v>
      </c>
    </row>
    <row r="118" spans="1:37" s="1564" customFormat="1" ht="11.45" customHeight="1">
      <c r="A118" s="914"/>
      <c r="B118" s="1559"/>
      <c r="C118" s="1559"/>
      <c r="D118" s="287"/>
      <c r="P118" s="1083"/>
      <c r="Q118" s="1559"/>
      <c r="R118" s="1559"/>
      <c r="S118" s="1083"/>
      <c r="T118" s="1083"/>
      <c r="U118" s="1083"/>
      <c r="V118" s="1083"/>
      <c r="W118" s="1559"/>
      <c r="X118" s="1083"/>
      <c r="Y118" s="1083"/>
      <c r="Z118" s="480"/>
      <c r="AA118" s="1083"/>
      <c r="AB118" s="1083"/>
      <c r="AC118" s="1083"/>
      <c r="AD118" s="1083"/>
      <c r="AE118" s="1083"/>
      <c r="AF118" s="1555"/>
      <c r="AG118" s="502"/>
      <c r="AH118" s="502"/>
      <c r="AI118" s="502"/>
      <c r="AJ118" s="502"/>
      <c r="AK118" s="1564">
        <v>11</v>
      </c>
    </row>
    <row r="119" spans="1:37" s="1564" customFormat="1" ht="11.45" customHeight="1">
      <c r="A119" s="914"/>
      <c r="B119" s="1559"/>
      <c r="C119" s="1559"/>
      <c r="D119" s="287"/>
      <c r="P119" s="1083"/>
      <c r="Q119" s="1559"/>
      <c r="R119" s="1559"/>
      <c r="S119" s="1083"/>
      <c r="T119" s="1083"/>
      <c r="U119" s="1083"/>
      <c r="V119" s="1083"/>
      <c r="W119" s="1559"/>
      <c r="X119" s="1083"/>
      <c r="Y119" s="1083"/>
      <c r="Z119" s="480"/>
      <c r="AA119" s="1083"/>
      <c r="AB119" s="1083"/>
      <c r="AC119" s="1083"/>
      <c r="AD119" s="1083"/>
      <c r="AE119" s="1083"/>
      <c r="AF119" s="1555"/>
      <c r="AG119" s="502"/>
      <c r="AH119" s="502"/>
      <c r="AI119" s="502"/>
      <c r="AJ119" s="502"/>
      <c r="AK119" s="1564">
        <v>11</v>
      </c>
    </row>
    <row r="120" spans="1:37" s="1564" customFormat="1" ht="11.45" customHeight="1">
      <c r="A120" s="914"/>
      <c r="B120" s="1559"/>
      <c r="C120" s="1559"/>
      <c r="D120" s="287"/>
      <c r="P120" s="1083"/>
      <c r="Q120" s="1559"/>
      <c r="R120" s="1559"/>
      <c r="S120" s="1083"/>
      <c r="T120" s="1083"/>
      <c r="U120" s="1083"/>
      <c r="V120" s="1083"/>
      <c r="W120" s="1559"/>
      <c r="X120" s="1083"/>
      <c r="Y120" s="1083"/>
      <c r="Z120" s="480"/>
      <c r="AA120" s="1083"/>
      <c r="AB120" s="1083"/>
      <c r="AC120" s="1083"/>
      <c r="AD120" s="1083"/>
      <c r="AE120" s="1083"/>
      <c r="AF120" s="1555"/>
      <c r="AG120" s="502"/>
      <c r="AH120" s="502"/>
      <c r="AI120" s="502"/>
      <c r="AJ120" s="502"/>
      <c r="AK120" s="1564">
        <v>11</v>
      </c>
    </row>
    <row r="121" spans="1:37" s="1564" customFormat="1" ht="11.45" customHeight="1">
      <c r="A121" s="914"/>
      <c r="B121" s="1559"/>
      <c r="C121" s="1559"/>
      <c r="D121" s="287"/>
      <c r="P121" s="1083"/>
      <c r="Q121" s="1559"/>
      <c r="R121" s="1559"/>
      <c r="S121" s="1083"/>
      <c r="T121" s="1083"/>
      <c r="U121" s="1083"/>
      <c r="V121" s="1083"/>
      <c r="W121" s="1559"/>
      <c r="X121" s="1083"/>
      <c r="Y121" s="1083"/>
      <c r="Z121" s="480"/>
      <c r="AA121" s="1083"/>
      <c r="AB121" s="1083"/>
      <c r="AC121" s="1083"/>
      <c r="AD121" s="1083"/>
      <c r="AE121" s="1083"/>
      <c r="AF121" s="1555"/>
      <c r="AG121" s="502"/>
      <c r="AH121" s="502"/>
      <c r="AI121" s="502"/>
      <c r="AJ121" s="502"/>
      <c r="AK121" s="1564">
        <v>11</v>
      </c>
    </row>
    <row r="122" spans="1:37" s="1564" customFormat="1" ht="11.45" customHeight="1">
      <c r="A122" s="914"/>
      <c r="B122" s="1559"/>
      <c r="C122" s="1559"/>
      <c r="D122" s="287"/>
      <c r="P122" s="1083"/>
      <c r="Q122" s="1559"/>
      <c r="R122" s="1559"/>
      <c r="S122" s="1083"/>
      <c r="T122" s="1083"/>
      <c r="U122" s="1083"/>
      <c r="V122" s="1083"/>
      <c r="W122" s="1559"/>
      <c r="X122" s="1083"/>
      <c r="Y122" s="1083"/>
      <c r="Z122" s="480"/>
      <c r="AA122" s="1083"/>
      <c r="AB122" s="1083"/>
      <c r="AC122" s="1083"/>
      <c r="AD122" s="1083"/>
      <c r="AE122" s="1083"/>
      <c r="AF122" s="1555"/>
      <c r="AG122" s="502"/>
      <c r="AH122" s="502"/>
      <c r="AI122" s="502"/>
      <c r="AJ122" s="502"/>
      <c r="AK122" s="1564">
        <v>11</v>
      </c>
    </row>
    <row r="123" spans="1:37" s="1564" customFormat="1" ht="11.45" customHeight="1">
      <c r="A123" s="914"/>
      <c r="B123" s="1559"/>
      <c r="C123" s="1559"/>
      <c r="D123" s="287"/>
      <c r="P123" s="1083"/>
      <c r="Q123" s="1559"/>
      <c r="R123" s="1559"/>
      <c r="S123" s="1083"/>
      <c r="T123" s="1083"/>
      <c r="U123" s="1083"/>
      <c r="V123" s="1083"/>
      <c r="W123" s="1559"/>
      <c r="X123" s="1083"/>
      <c r="Y123" s="1083"/>
      <c r="Z123" s="480"/>
      <c r="AA123" s="1083"/>
      <c r="AB123" s="1083"/>
      <c r="AC123" s="1083"/>
      <c r="AD123" s="1083"/>
      <c r="AE123" s="1083"/>
      <c r="AF123" s="1555"/>
      <c r="AG123" s="502"/>
      <c r="AH123" s="502"/>
      <c r="AI123" s="502"/>
      <c r="AJ123" s="502"/>
      <c r="AK123" s="1564">
        <v>11</v>
      </c>
    </row>
    <row r="124" spans="1:37" s="1564" customFormat="1" ht="11.45" customHeight="1">
      <c r="A124" s="914"/>
      <c r="B124" s="1559"/>
      <c r="C124" s="1559"/>
      <c r="D124" s="287"/>
      <c r="P124" s="1083"/>
      <c r="Q124" s="1559"/>
      <c r="R124" s="1559"/>
      <c r="S124" s="1083"/>
      <c r="T124" s="1083"/>
      <c r="U124" s="1083"/>
      <c r="V124" s="1083"/>
      <c r="W124" s="1559"/>
      <c r="X124" s="1083"/>
      <c r="Y124" s="1083"/>
      <c r="Z124" s="480"/>
      <c r="AA124" s="1083"/>
      <c r="AB124" s="1083"/>
      <c r="AC124" s="1083"/>
      <c r="AD124" s="1083"/>
      <c r="AE124" s="1083"/>
      <c r="AF124" s="1555"/>
      <c r="AG124" s="502"/>
      <c r="AH124" s="502"/>
      <c r="AI124" s="502"/>
      <c r="AJ124" s="502"/>
      <c r="AK124" s="1564">
        <v>11</v>
      </c>
    </row>
    <row r="125" spans="1:37" s="1564" customFormat="1" ht="11.45" customHeight="1">
      <c r="A125" s="914"/>
      <c r="B125" s="1559"/>
      <c r="C125" s="1559"/>
      <c r="D125" s="287"/>
      <c r="P125" s="1083"/>
      <c r="Q125" s="1559"/>
      <c r="R125" s="1559"/>
      <c r="S125" s="1083"/>
      <c r="T125" s="1083"/>
      <c r="U125" s="1083"/>
      <c r="V125" s="1083"/>
      <c r="W125" s="1559"/>
      <c r="X125" s="1083"/>
      <c r="Y125" s="1083"/>
      <c r="Z125" s="480"/>
      <c r="AA125" s="1083"/>
      <c r="AB125" s="1083"/>
      <c r="AC125" s="1083"/>
      <c r="AD125" s="1083"/>
      <c r="AE125" s="1083"/>
      <c r="AF125" s="1555"/>
      <c r="AG125" s="502"/>
      <c r="AH125" s="502"/>
      <c r="AI125" s="502"/>
      <c r="AJ125" s="502"/>
      <c r="AK125" s="1564">
        <v>11</v>
      </c>
    </row>
    <row r="126" spans="1:37" s="1564" customFormat="1" ht="11.45" customHeight="1">
      <c r="A126" s="914"/>
      <c r="B126" s="1559"/>
      <c r="C126" s="1559"/>
      <c r="D126" s="287"/>
      <c r="P126" s="1083"/>
      <c r="Q126" s="1559"/>
      <c r="R126" s="1559"/>
      <c r="S126" s="1083"/>
      <c r="T126" s="1083"/>
      <c r="U126" s="1083"/>
      <c r="V126" s="1083"/>
      <c r="W126" s="1559"/>
      <c r="X126" s="1083"/>
      <c r="Y126" s="1083"/>
      <c r="Z126" s="480"/>
      <c r="AA126" s="1083"/>
      <c r="AB126" s="1083"/>
      <c r="AC126" s="1083"/>
      <c r="AD126" s="1083"/>
      <c r="AE126" s="1083"/>
      <c r="AF126" s="1555"/>
      <c r="AG126" s="502"/>
      <c r="AH126" s="502"/>
      <c r="AI126" s="502"/>
      <c r="AJ126" s="502"/>
      <c r="AK126" s="1564">
        <v>11</v>
      </c>
    </row>
    <row r="127" spans="1:37" s="1564" customFormat="1" ht="11.45" customHeight="1">
      <c r="A127" s="914"/>
      <c r="B127" s="1559"/>
      <c r="C127" s="1559"/>
      <c r="D127" s="287"/>
      <c r="P127" s="1083"/>
      <c r="Q127" s="1559"/>
      <c r="R127" s="1559"/>
      <c r="S127" s="1083"/>
      <c r="T127" s="1083"/>
      <c r="U127" s="1083"/>
      <c r="V127" s="1083"/>
      <c r="W127" s="1559"/>
      <c r="X127" s="1083"/>
      <c r="Y127" s="1083"/>
      <c r="Z127" s="480"/>
      <c r="AA127" s="1083"/>
      <c r="AB127" s="1083"/>
      <c r="AC127" s="1083"/>
      <c r="AD127" s="1083"/>
      <c r="AE127" s="1083"/>
      <c r="AF127" s="1555"/>
      <c r="AG127" s="502"/>
      <c r="AH127" s="502"/>
      <c r="AI127" s="502"/>
      <c r="AJ127" s="502"/>
      <c r="AK127" s="1564">
        <v>11</v>
      </c>
    </row>
    <row r="128" spans="1:37" s="1564" customFormat="1" ht="11.45" customHeight="1">
      <c r="A128" s="914"/>
      <c r="B128" s="1559"/>
      <c r="C128" s="1559"/>
      <c r="D128" s="287"/>
      <c r="P128" s="1083"/>
      <c r="Q128" s="1559"/>
      <c r="R128" s="1559"/>
      <c r="S128" s="1083"/>
      <c r="T128" s="1083"/>
      <c r="U128" s="1083"/>
      <c r="V128" s="1083"/>
      <c r="W128" s="1559"/>
      <c r="X128" s="1083"/>
      <c r="Y128" s="1083"/>
      <c r="Z128" s="480"/>
      <c r="AA128" s="1083"/>
      <c r="AB128" s="1083"/>
      <c r="AC128" s="1083"/>
      <c r="AD128" s="1083"/>
      <c r="AE128" s="1083"/>
      <c r="AF128" s="1555"/>
      <c r="AG128" s="502"/>
      <c r="AH128" s="502"/>
      <c r="AI128" s="502"/>
      <c r="AJ128" s="502"/>
      <c r="AK128" s="1564">
        <v>11</v>
      </c>
    </row>
    <row r="129" spans="1:37" s="1564" customFormat="1" ht="11.45" customHeight="1">
      <c r="A129" s="914"/>
      <c r="B129" s="1559"/>
      <c r="C129" s="1559"/>
      <c r="D129" s="287"/>
      <c r="P129" s="1083"/>
      <c r="Q129" s="1559"/>
      <c r="R129" s="1559"/>
      <c r="S129" s="1083"/>
      <c r="T129" s="1083"/>
      <c r="U129" s="1083"/>
      <c r="V129" s="1083"/>
      <c r="W129" s="1559"/>
      <c r="X129" s="1083"/>
      <c r="Y129" s="1083"/>
      <c r="Z129" s="480"/>
      <c r="AA129" s="1083"/>
      <c r="AB129" s="1083"/>
      <c r="AC129" s="1083"/>
      <c r="AD129" s="1083"/>
      <c r="AE129" s="1083"/>
      <c r="AF129" s="1555"/>
      <c r="AG129" s="502"/>
      <c r="AH129" s="502"/>
      <c r="AI129" s="502"/>
      <c r="AJ129" s="502"/>
      <c r="AK129" s="1564">
        <v>11</v>
      </c>
    </row>
    <row r="130" spans="1:37" s="1564" customFormat="1" ht="11.45" customHeight="1">
      <c r="A130" s="914"/>
      <c r="B130" s="1559"/>
      <c r="C130" s="1559"/>
      <c r="D130" s="287"/>
      <c r="P130" s="1083"/>
      <c r="Q130" s="1559"/>
      <c r="R130" s="1559"/>
      <c r="S130" s="1083"/>
      <c r="T130" s="1083"/>
      <c r="U130" s="1083"/>
      <c r="V130" s="1083"/>
      <c r="W130" s="1559"/>
      <c r="X130" s="1083"/>
      <c r="Y130" s="1083"/>
      <c r="Z130" s="480"/>
      <c r="AA130" s="1083"/>
      <c r="AB130" s="1083"/>
      <c r="AC130" s="1083"/>
      <c r="AD130" s="1083"/>
      <c r="AE130" s="1083"/>
      <c r="AF130" s="1555"/>
      <c r="AG130" s="502"/>
      <c r="AH130" s="502"/>
      <c r="AI130" s="502"/>
      <c r="AJ130" s="502"/>
      <c r="AK130" s="1564">
        <v>11</v>
      </c>
    </row>
    <row r="131" spans="1:37" s="1564" customFormat="1" ht="11.45" customHeight="1">
      <c r="A131" s="914"/>
      <c r="B131" s="1559"/>
      <c r="C131" s="1559"/>
      <c r="D131" s="287"/>
      <c r="P131" s="1083"/>
      <c r="Q131" s="1559"/>
      <c r="R131" s="1559"/>
      <c r="S131" s="1083"/>
      <c r="T131" s="1083"/>
      <c r="U131" s="1083"/>
      <c r="V131" s="1083"/>
      <c r="W131" s="1559"/>
      <c r="X131" s="1083"/>
      <c r="Y131" s="1083"/>
      <c r="Z131" s="480"/>
      <c r="AA131" s="1083"/>
      <c r="AB131" s="1083"/>
      <c r="AC131" s="1083"/>
      <c r="AD131" s="1083"/>
      <c r="AE131" s="1083"/>
      <c r="AF131" s="1555"/>
      <c r="AG131" s="502"/>
      <c r="AH131" s="502"/>
      <c r="AI131" s="502"/>
      <c r="AJ131" s="502"/>
      <c r="AK131" s="1564">
        <v>11</v>
      </c>
    </row>
    <row r="132" spans="1:37" s="1564" customFormat="1" ht="11.45" customHeight="1">
      <c r="A132" s="914"/>
      <c r="B132" s="1559"/>
      <c r="C132" s="1559"/>
      <c r="D132" s="287"/>
      <c r="P132" s="1083"/>
      <c r="Q132" s="1559"/>
      <c r="R132" s="1559"/>
      <c r="S132" s="1083"/>
      <c r="T132" s="1083"/>
      <c r="U132" s="1083"/>
      <c r="V132" s="1083"/>
      <c r="W132" s="1559"/>
      <c r="X132" s="1083"/>
      <c r="Y132" s="1083"/>
      <c r="Z132" s="480"/>
      <c r="AA132" s="1083"/>
      <c r="AB132" s="1083"/>
      <c r="AC132" s="1083"/>
      <c r="AD132" s="1083"/>
      <c r="AE132" s="1083"/>
      <c r="AF132" s="1555"/>
      <c r="AG132" s="502"/>
      <c r="AH132" s="502"/>
      <c r="AI132" s="502"/>
      <c r="AJ132" s="502"/>
      <c r="AK132" s="1564">
        <v>11</v>
      </c>
    </row>
    <row r="133" spans="1:37" s="1564" customFormat="1" ht="11.45" customHeight="1">
      <c r="A133" s="914"/>
      <c r="B133" s="1559"/>
      <c r="C133" s="1559"/>
      <c r="D133" s="287"/>
      <c r="P133" s="1083"/>
      <c r="Q133" s="1559"/>
      <c r="R133" s="1559"/>
      <c r="S133" s="1083"/>
      <c r="T133" s="1083"/>
      <c r="U133" s="1083"/>
      <c r="V133" s="1083"/>
      <c r="W133" s="1559"/>
      <c r="X133" s="1083"/>
      <c r="Y133" s="1083"/>
      <c r="Z133" s="480"/>
      <c r="AA133" s="1083"/>
      <c r="AB133" s="1083"/>
      <c r="AC133" s="1083"/>
      <c r="AD133" s="1083"/>
      <c r="AE133" s="1083"/>
      <c r="AF133" s="1555"/>
      <c r="AG133" s="502"/>
      <c r="AH133" s="502"/>
      <c r="AI133" s="502"/>
      <c r="AJ133" s="502"/>
      <c r="AK133" s="1564">
        <v>11</v>
      </c>
    </row>
    <row r="134" spans="1:37" s="1564" customFormat="1" ht="11.45" customHeight="1">
      <c r="A134" s="914"/>
      <c r="B134" s="1559"/>
      <c r="C134" s="1559"/>
      <c r="D134" s="287"/>
      <c r="P134" s="1083"/>
      <c r="Q134" s="1559"/>
      <c r="R134" s="1559"/>
      <c r="S134" s="1083"/>
      <c r="T134" s="1083"/>
      <c r="U134" s="1083"/>
      <c r="V134" s="1083"/>
      <c r="W134" s="1559"/>
      <c r="X134" s="1083"/>
      <c r="Y134" s="1083"/>
      <c r="Z134" s="480"/>
      <c r="AA134" s="1083"/>
      <c r="AB134" s="1083"/>
      <c r="AC134" s="1083"/>
      <c r="AD134" s="1083"/>
      <c r="AE134" s="1083"/>
      <c r="AF134" s="1555"/>
      <c r="AG134" s="502"/>
      <c r="AH134" s="502"/>
      <c r="AI134" s="502"/>
      <c r="AJ134" s="502"/>
      <c r="AK134" s="1564">
        <v>11</v>
      </c>
    </row>
    <row r="135" spans="1:37" s="1564" customFormat="1" ht="11.45" customHeight="1">
      <c r="A135" s="914"/>
      <c r="B135" s="1559"/>
      <c r="C135" s="1559"/>
      <c r="D135" s="287"/>
      <c r="P135" s="1083"/>
      <c r="Q135" s="1559"/>
      <c r="R135" s="1559"/>
      <c r="S135" s="1083"/>
      <c r="T135" s="1083"/>
      <c r="U135" s="1083"/>
      <c r="V135" s="1083"/>
      <c r="W135" s="1559"/>
      <c r="X135" s="1083"/>
      <c r="Y135" s="1083"/>
      <c r="Z135" s="480"/>
      <c r="AA135" s="1083"/>
      <c r="AB135" s="1083"/>
      <c r="AC135" s="1083"/>
      <c r="AD135" s="1083"/>
      <c r="AE135" s="1083"/>
      <c r="AF135" s="1555"/>
      <c r="AG135" s="502"/>
      <c r="AH135" s="502"/>
      <c r="AI135" s="502"/>
      <c r="AJ135" s="502"/>
      <c r="AK135" s="1564">
        <v>11</v>
      </c>
    </row>
    <row r="136" spans="1:37" s="1564" customFormat="1" ht="11.45" customHeight="1">
      <c r="A136" s="914"/>
      <c r="B136" s="1559"/>
      <c r="C136" s="1559"/>
      <c r="D136" s="287"/>
      <c r="P136" s="1083"/>
      <c r="Q136" s="1559"/>
      <c r="R136" s="1559"/>
      <c r="S136" s="1083"/>
      <c r="T136" s="1083"/>
      <c r="U136" s="1083"/>
      <c r="V136" s="1083"/>
      <c r="W136" s="1559"/>
      <c r="X136" s="1083"/>
      <c r="Y136" s="1083"/>
      <c r="Z136" s="480"/>
      <c r="AA136" s="1083"/>
      <c r="AB136" s="1083"/>
      <c r="AC136" s="1083"/>
      <c r="AD136" s="1083"/>
      <c r="AE136" s="1083"/>
      <c r="AF136" s="1555"/>
      <c r="AG136" s="502"/>
      <c r="AH136" s="502"/>
      <c r="AI136" s="502"/>
      <c r="AJ136" s="502"/>
      <c r="AK136" s="1564">
        <v>11</v>
      </c>
    </row>
    <row r="137" spans="1:37" s="1564" customFormat="1" ht="11.45" customHeight="1">
      <c r="A137" s="914"/>
      <c r="B137" s="1559"/>
      <c r="C137" s="1559"/>
      <c r="D137" s="287"/>
      <c r="P137" s="1083"/>
      <c r="Q137" s="1559"/>
      <c r="R137" s="1559"/>
      <c r="S137" s="1083"/>
      <c r="T137" s="1083"/>
      <c r="U137" s="1083"/>
      <c r="V137" s="1083"/>
      <c r="W137" s="1559"/>
      <c r="X137" s="1083"/>
      <c r="Y137" s="1083"/>
      <c r="Z137" s="480"/>
      <c r="AA137" s="1083"/>
      <c r="AB137" s="1083"/>
      <c r="AC137" s="1083"/>
      <c r="AD137" s="1083"/>
      <c r="AE137" s="1083"/>
      <c r="AF137" s="1555"/>
      <c r="AG137" s="502"/>
      <c r="AH137" s="502"/>
      <c r="AI137" s="502"/>
      <c r="AJ137" s="502"/>
      <c r="AK137" s="1564">
        <v>11</v>
      </c>
    </row>
    <row r="138" spans="1:37" s="1564" customFormat="1" ht="11.45" customHeight="1">
      <c r="A138" s="914"/>
      <c r="B138" s="1559"/>
      <c r="C138" s="1559"/>
      <c r="D138" s="287"/>
      <c r="P138" s="1083"/>
      <c r="Q138" s="1559"/>
      <c r="R138" s="1559"/>
      <c r="S138" s="1083"/>
      <c r="T138" s="1083"/>
      <c r="U138" s="1083"/>
      <c r="V138" s="1083"/>
      <c r="W138" s="1559"/>
      <c r="X138" s="1083"/>
      <c r="Y138" s="1083"/>
      <c r="Z138" s="480"/>
      <c r="AA138" s="1083"/>
      <c r="AB138" s="1083"/>
      <c r="AC138" s="1083"/>
      <c r="AD138" s="1083"/>
      <c r="AE138" s="1083"/>
      <c r="AF138" s="1555"/>
      <c r="AG138" s="502"/>
      <c r="AH138" s="502"/>
      <c r="AI138" s="502"/>
      <c r="AJ138" s="502"/>
      <c r="AK138" s="1564">
        <v>11</v>
      </c>
    </row>
    <row r="139" spans="1:37" s="1564" customFormat="1" ht="11.45" customHeight="1">
      <c r="A139" s="914"/>
      <c r="B139" s="1559"/>
      <c r="C139" s="1559"/>
      <c r="D139" s="287"/>
      <c r="P139" s="1083"/>
      <c r="Q139" s="1559"/>
      <c r="R139" s="1559"/>
      <c r="S139" s="1083"/>
      <c r="T139" s="1083"/>
      <c r="U139" s="1083"/>
      <c r="V139" s="1083"/>
      <c r="W139" s="1559"/>
      <c r="X139" s="1083"/>
      <c r="Y139" s="1083"/>
      <c r="Z139" s="480"/>
      <c r="AA139" s="1083"/>
      <c r="AB139" s="1083"/>
      <c r="AC139" s="1083"/>
      <c r="AD139" s="1083"/>
      <c r="AE139" s="1083"/>
      <c r="AF139" s="1555"/>
      <c r="AG139" s="502"/>
      <c r="AH139" s="502"/>
      <c r="AI139" s="502"/>
      <c r="AJ139" s="502"/>
      <c r="AK139" s="1564">
        <v>11</v>
      </c>
    </row>
    <row r="140" spans="1:37" s="1564" customFormat="1" ht="11.45" customHeight="1">
      <c r="A140" s="914"/>
      <c r="B140" s="1559"/>
      <c r="C140" s="1559"/>
      <c r="D140" s="287"/>
      <c r="P140" s="1083"/>
      <c r="Q140" s="1559"/>
      <c r="R140" s="1559"/>
      <c r="S140" s="1083"/>
      <c r="T140" s="1083"/>
      <c r="U140" s="1083"/>
      <c r="V140" s="1083"/>
      <c r="W140" s="1559"/>
      <c r="X140" s="1083"/>
      <c r="Y140" s="1083"/>
      <c r="Z140" s="480"/>
      <c r="AA140" s="1083"/>
      <c r="AB140" s="1083"/>
      <c r="AC140" s="1083"/>
      <c r="AD140" s="1083"/>
      <c r="AE140" s="1083"/>
      <c r="AF140" s="1555"/>
      <c r="AG140" s="502"/>
      <c r="AH140" s="502"/>
      <c r="AI140" s="502"/>
      <c r="AJ140" s="502"/>
      <c r="AK140" s="1564">
        <v>11</v>
      </c>
    </row>
    <row r="141" spans="1:37" s="1564" customFormat="1" ht="11.45" customHeight="1">
      <c r="A141" s="914"/>
      <c r="B141" s="1559"/>
      <c r="C141" s="1559"/>
      <c r="D141" s="287"/>
      <c r="P141" s="1083"/>
      <c r="Q141" s="1559"/>
      <c r="R141" s="1559"/>
      <c r="S141" s="1083"/>
      <c r="T141" s="1083"/>
      <c r="U141" s="1083"/>
      <c r="V141" s="1083"/>
      <c r="W141" s="1559"/>
      <c r="X141" s="1083"/>
      <c r="Y141" s="1083"/>
      <c r="Z141" s="480"/>
      <c r="AA141" s="1083"/>
      <c r="AB141" s="1083"/>
      <c r="AC141" s="1083"/>
      <c r="AD141" s="1083"/>
      <c r="AE141" s="1083"/>
      <c r="AF141" s="1555"/>
      <c r="AG141" s="502"/>
      <c r="AH141" s="502"/>
      <c r="AI141" s="502"/>
      <c r="AJ141" s="502"/>
      <c r="AK141" s="1564">
        <v>11</v>
      </c>
    </row>
    <row r="142" spans="1:37" s="1564" customFormat="1" ht="11.45" customHeight="1">
      <c r="A142" s="914"/>
      <c r="B142" s="1559"/>
      <c r="C142" s="1559"/>
      <c r="D142" s="287"/>
      <c r="P142" s="1083"/>
      <c r="Q142" s="1559"/>
      <c r="R142" s="1559"/>
      <c r="S142" s="1083"/>
      <c r="T142" s="1083"/>
      <c r="U142" s="1083"/>
      <c r="V142" s="1083"/>
      <c r="W142" s="1559"/>
      <c r="X142" s="1083"/>
      <c r="Y142" s="1083"/>
      <c r="Z142" s="480"/>
      <c r="AA142" s="1083"/>
      <c r="AB142" s="1083"/>
      <c r="AC142" s="1083"/>
      <c r="AD142" s="1083"/>
      <c r="AE142" s="1083"/>
      <c r="AF142" s="1555"/>
      <c r="AG142" s="502"/>
      <c r="AH142" s="502"/>
      <c r="AI142" s="502"/>
      <c r="AJ142" s="502"/>
      <c r="AK142" s="1564">
        <v>11</v>
      </c>
    </row>
    <row r="143" spans="1:37" s="1564" customFormat="1" ht="11.45" customHeight="1">
      <c r="A143" s="914"/>
      <c r="B143" s="1559"/>
      <c r="C143" s="1559"/>
      <c r="D143" s="287"/>
      <c r="P143" s="1083"/>
      <c r="Q143" s="1559"/>
      <c r="R143" s="1559"/>
      <c r="S143" s="1083"/>
      <c r="T143" s="1083"/>
      <c r="U143" s="1083"/>
      <c r="V143" s="1083"/>
      <c r="W143" s="1559"/>
      <c r="X143" s="1083"/>
      <c r="Y143" s="1083"/>
      <c r="Z143" s="480"/>
      <c r="AA143" s="1083"/>
      <c r="AB143" s="1083"/>
      <c r="AC143" s="1083"/>
      <c r="AD143" s="1083"/>
      <c r="AE143" s="1083"/>
      <c r="AF143" s="1555"/>
      <c r="AG143" s="502"/>
      <c r="AH143" s="502"/>
      <c r="AI143" s="502"/>
      <c r="AJ143" s="502"/>
      <c r="AK143" s="1564">
        <v>11</v>
      </c>
    </row>
    <row r="144" spans="1:37" s="1564" customFormat="1" ht="11.45" customHeight="1">
      <c r="A144" s="914"/>
      <c r="B144" s="1559"/>
      <c r="C144" s="1559"/>
      <c r="D144" s="287"/>
      <c r="P144" s="1083"/>
      <c r="Q144" s="1559"/>
      <c r="R144" s="1559"/>
      <c r="S144" s="1083"/>
      <c r="T144" s="1083"/>
      <c r="U144" s="1083"/>
      <c r="V144" s="1083"/>
      <c r="W144" s="1559"/>
      <c r="X144" s="1083"/>
      <c r="Y144" s="1083"/>
      <c r="Z144" s="480"/>
      <c r="AA144" s="1083"/>
      <c r="AB144" s="1083"/>
      <c r="AC144" s="1083"/>
      <c r="AD144" s="1083"/>
      <c r="AE144" s="1083"/>
      <c r="AF144" s="1555"/>
      <c r="AG144" s="502"/>
      <c r="AH144" s="502"/>
      <c r="AI144" s="502"/>
      <c r="AJ144" s="502"/>
      <c r="AK144" s="1564">
        <v>11</v>
      </c>
    </row>
    <row r="145" spans="1:37" s="1564" customFormat="1" ht="11.45" customHeight="1">
      <c r="A145" s="914"/>
      <c r="B145" s="1559"/>
      <c r="C145" s="1559"/>
      <c r="D145" s="287"/>
      <c r="P145" s="1083"/>
      <c r="Q145" s="1559"/>
      <c r="R145" s="1559"/>
      <c r="S145" s="1083"/>
      <c r="T145" s="1083"/>
      <c r="U145" s="1083"/>
      <c r="V145" s="1083"/>
      <c r="W145" s="1559"/>
      <c r="X145" s="1083"/>
      <c r="Y145" s="1083"/>
      <c r="Z145" s="480"/>
      <c r="AA145" s="1083"/>
      <c r="AB145" s="1083"/>
      <c r="AC145" s="1083"/>
      <c r="AD145" s="1083"/>
      <c r="AE145" s="1083"/>
      <c r="AF145" s="1555"/>
      <c r="AG145" s="502"/>
      <c r="AH145" s="502"/>
      <c r="AI145" s="502"/>
      <c r="AJ145" s="502"/>
      <c r="AK145" s="1564">
        <v>11</v>
      </c>
    </row>
    <row r="146" spans="1:37" s="1564" customFormat="1" ht="11.45" customHeight="1">
      <c r="A146" s="914"/>
      <c r="B146" s="1559"/>
      <c r="C146" s="1559"/>
      <c r="D146" s="287"/>
      <c r="P146" s="1083"/>
      <c r="Q146" s="1559"/>
      <c r="R146" s="1559"/>
      <c r="S146" s="1083"/>
      <c r="T146" s="1083"/>
      <c r="U146" s="1083"/>
      <c r="V146" s="1083"/>
      <c r="W146" s="1559"/>
      <c r="X146" s="1083"/>
      <c r="Y146" s="1083"/>
      <c r="Z146" s="480"/>
      <c r="AA146" s="1083"/>
      <c r="AB146" s="1083"/>
      <c r="AC146" s="1083"/>
      <c r="AD146" s="1083"/>
      <c r="AE146" s="1083"/>
      <c r="AF146" s="1555"/>
      <c r="AG146" s="502"/>
      <c r="AH146" s="502"/>
      <c r="AI146" s="502"/>
      <c r="AJ146" s="502"/>
      <c r="AK146" s="1564">
        <v>11</v>
      </c>
    </row>
    <row r="147" spans="1:37" s="1564" customFormat="1" ht="11.45" customHeight="1">
      <c r="A147" s="914"/>
      <c r="B147" s="1559"/>
      <c r="C147" s="1559"/>
      <c r="D147" s="287"/>
      <c r="P147" s="1083"/>
      <c r="Q147" s="1559"/>
      <c r="R147" s="1559"/>
      <c r="S147" s="1083"/>
      <c r="T147" s="1083"/>
      <c r="U147" s="1083"/>
      <c r="V147" s="1083"/>
      <c r="W147" s="1559"/>
      <c r="X147" s="1083"/>
      <c r="Y147" s="1083"/>
      <c r="Z147" s="480"/>
      <c r="AA147" s="1083"/>
      <c r="AB147" s="1083"/>
      <c r="AC147" s="1083"/>
      <c r="AD147" s="1083"/>
      <c r="AE147" s="1083"/>
      <c r="AF147" s="1555"/>
      <c r="AG147" s="502"/>
      <c r="AH147" s="502"/>
      <c r="AI147" s="502"/>
      <c r="AJ147" s="502"/>
      <c r="AK147" s="1564">
        <v>11</v>
      </c>
    </row>
    <row r="148" spans="1:37" s="1564" customFormat="1" ht="11.45" customHeight="1">
      <c r="A148" s="914"/>
      <c r="B148" s="1559"/>
      <c r="C148" s="1559"/>
      <c r="D148" s="287"/>
      <c r="P148" s="1083"/>
      <c r="Q148" s="1559"/>
      <c r="R148" s="1559"/>
      <c r="S148" s="1083"/>
      <c r="T148" s="1083"/>
      <c r="U148" s="1083"/>
      <c r="V148" s="1083"/>
      <c r="W148" s="1559"/>
      <c r="X148" s="1083"/>
      <c r="Y148" s="1083"/>
      <c r="Z148" s="480"/>
      <c r="AA148" s="1083"/>
      <c r="AB148" s="1083"/>
      <c r="AC148" s="1083"/>
      <c r="AD148" s="1083"/>
      <c r="AE148" s="1083"/>
      <c r="AF148" s="1555"/>
      <c r="AG148" s="502"/>
      <c r="AH148" s="502"/>
      <c r="AI148" s="502"/>
      <c r="AJ148" s="502"/>
      <c r="AK148" s="1564">
        <v>11</v>
      </c>
    </row>
    <row r="149" spans="1:37" s="1564" customFormat="1" ht="11.45" customHeight="1">
      <c r="A149" s="914"/>
      <c r="B149" s="1559"/>
      <c r="C149" s="1559"/>
      <c r="D149" s="287"/>
      <c r="P149" s="1083"/>
      <c r="Q149" s="1559"/>
      <c r="R149" s="1559"/>
      <c r="S149" s="1083"/>
      <c r="T149" s="1083"/>
      <c r="U149" s="1083"/>
      <c r="V149" s="1083"/>
      <c r="W149" s="1559"/>
      <c r="X149" s="1083"/>
      <c r="Y149" s="1083"/>
      <c r="Z149" s="480"/>
      <c r="AA149" s="1083"/>
      <c r="AB149" s="1083"/>
      <c r="AC149" s="1083"/>
      <c r="AD149" s="1083"/>
      <c r="AE149" s="1083"/>
      <c r="AF149" s="1555"/>
      <c r="AG149" s="502"/>
      <c r="AH149" s="502"/>
      <c r="AI149" s="502"/>
      <c r="AJ149" s="502"/>
      <c r="AK149" s="1564">
        <v>11</v>
      </c>
    </row>
    <row r="150" spans="1:37" s="1564" customFormat="1" ht="11.45" customHeight="1">
      <c r="A150" s="914"/>
      <c r="B150" s="1559"/>
      <c r="C150" s="1559"/>
      <c r="D150" s="287"/>
      <c r="P150" s="1083"/>
      <c r="Q150" s="1559"/>
      <c r="R150" s="1559"/>
      <c r="S150" s="1083"/>
      <c r="T150" s="1083"/>
      <c r="U150" s="1083"/>
      <c r="V150" s="1083"/>
      <c r="W150" s="1559"/>
      <c r="X150" s="1083"/>
      <c r="Y150" s="1083"/>
      <c r="Z150" s="480"/>
      <c r="AA150" s="1083"/>
      <c r="AB150" s="1083"/>
      <c r="AC150" s="1083"/>
      <c r="AD150" s="1083"/>
      <c r="AE150" s="1083"/>
      <c r="AF150" s="1555"/>
      <c r="AG150" s="502"/>
      <c r="AH150" s="502"/>
      <c r="AI150" s="502"/>
      <c r="AJ150" s="502"/>
      <c r="AK150" s="1564">
        <v>11</v>
      </c>
    </row>
    <row r="151" spans="1:37" s="1564" customFormat="1" ht="11.45" customHeight="1">
      <c r="A151" s="914"/>
      <c r="B151" s="1559"/>
      <c r="C151" s="1559"/>
      <c r="D151" s="287"/>
      <c r="P151" s="1083"/>
      <c r="Q151" s="1559"/>
      <c r="R151" s="1559"/>
      <c r="S151" s="1083"/>
      <c r="T151" s="1083"/>
      <c r="U151" s="1083"/>
      <c r="V151" s="1083"/>
      <c r="W151" s="1559"/>
      <c r="X151" s="1083"/>
      <c r="Y151" s="1083"/>
      <c r="Z151" s="480"/>
      <c r="AA151" s="1083"/>
      <c r="AB151" s="1083"/>
      <c r="AC151" s="1083"/>
      <c r="AD151" s="1083"/>
      <c r="AE151" s="1083"/>
      <c r="AF151" s="1555"/>
      <c r="AG151" s="502"/>
      <c r="AH151" s="502"/>
      <c r="AI151" s="502"/>
      <c r="AJ151" s="502"/>
      <c r="AK151" s="1564">
        <v>11</v>
      </c>
    </row>
    <row r="152" spans="1:37" s="1564" customFormat="1" ht="11.45" customHeight="1">
      <c r="A152" s="914"/>
      <c r="B152" s="1559"/>
      <c r="C152" s="1559"/>
      <c r="D152" s="287"/>
      <c r="P152" s="1083"/>
      <c r="Q152" s="1559"/>
      <c r="R152" s="1559"/>
      <c r="S152" s="1083"/>
      <c r="T152" s="1083"/>
      <c r="U152" s="1083"/>
      <c r="V152" s="1083"/>
      <c r="W152" s="1559"/>
      <c r="X152" s="1083"/>
      <c r="Y152" s="1083"/>
      <c r="Z152" s="480"/>
      <c r="AA152" s="1083"/>
      <c r="AB152" s="1083"/>
      <c r="AC152" s="1083"/>
      <c r="AD152" s="1083"/>
      <c r="AE152" s="1083"/>
      <c r="AF152" s="1555"/>
      <c r="AG152" s="502"/>
      <c r="AH152" s="502"/>
      <c r="AI152" s="502"/>
      <c r="AJ152" s="502"/>
      <c r="AK152" s="1564">
        <v>11</v>
      </c>
    </row>
    <row r="153" spans="1:37" s="1564" customFormat="1" ht="11.45" customHeight="1">
      <c r="A153" s="914"/>
      <c r="B153" s="1559"/>
      <c r="C153" s="1559"/>
      <c r="D153" s="287"/>
      <c r="P153" s="1083"/>
      <c r="Q153" s="1559"/>
      <c r="R153" s="1559"/>
      <c r="S153" s="1083"/>
      <c r="T153" s="1083"/>
      <c r="U153" s="1083"/>
      <c r="V153" s="1083"/>
      <c r="W153" s="1559"/>
      <c r="X153" s="1083"/>
      <c r="Y153" s="1083"/>
      <c r="Z153" s="480"/>
      <c r="AA153" s="1083"/>
      <c r="AB153" s="1083"/>
      <c r="AC153" s="1083"/>
      <c r="AD153" s="1083"/>
      <c r="AE153" s="1083"/>
      <c r="AF153" s="1555"/>
      <c r="AG153" s="502"/>
      <c r="AH153" s="502"/>
      <c r="AI153" s="502"/>
      <c r="AJ153" s="502"/>
      <c r="AK153" s="1564">
        <v>11</v>
      </c>
    </row>
    <row r="154" spans="1:37" s="1564" customFormat="1" ht="11.45" customHeight="1">
      <c r="A154" s="914"/>
      <c r="B154" s="1559"/>
      <c r="C154" s="1559"/>
      <c r="D154" s="287"/>
      <c r="P154" s="1083"/>
      <c r="Q154" s="1559"/>
      <c r="R154" s="1559"/>
      <c r="S154" s="1083"/>
      <c r="T154" s="1083"/>
      <c r="U154" s="1083"/>
      <c r="V154" s="1083"/>
      <c r="W154" s="1559"/>
      <c r="X154" s="1083"/>
      <c r="Y154" s="1083"/>
      <c r="Z154" s="480"/>
      <c r="AA154" s="1083"/>
      <c r="AB154" s="1083"/>
      <c r="AC154" s="1083"/>
      <c r="AD154" s="1083"/>
      <c r="AE154" s="1083"/>
      <c r="AF154" s="1555"/>
      <c r="AG154" s="502"/>
      <c r="AH154" s="502"/>
      <c r="AI154" s="502"/>
      <c r="AJ154" s="502"/>
      <c r="AK154" s="1564">
        <v>11</v>
      </c>
    </row>
    <row r="155" spans="1:37" s="1564" customFormat="1" ht="11.45" customHeight="1">
      <c r="A155" s="914"/>
      <c r="B155" s="1559"/>
      <c r="C155" s="1559"/>
      <c r="D155" s="287"/>
      <c r="P155" s="1083"/>
      <c r="Q155" s="1559"/>
      <c r="R155" s="1559"/>
      <c r="S155" s="1083"/>
      <c r="T155" s="1083"/>
      <c r="U155" s="1083"/>
      <c r="V155" s="1083"/>
      <c r="W155" s="1559"/>
      <c r="X155" s="1083"/>
      <c r="Y155" s="1083"/>
      <c r="Z155" s="480"/>
      <c r="AA155" s="1083"/>
      <c r="AB155" s="1083"/>
      <c r="AC155" s="1083"/>
      <c r="AD155" s="1083"/>
      <c r="AE155" s="1083"/>
      <c r="AF155" s="1555"/>
      <c r="AG155" s="502"/>
      <c r="AH155" s="502"/>
      <c r="AI155" s="502"/>
      <c r="AJ155" s="502"/>
      <c r="AK155" s="1564">
        <v>11</v>
      </c>
    </row>
    <row r="156" spans="1:37" s="1564" customFormat="1" ht="11.45" customHeight="1">
      <c r="A156" s="914"/>
      <c r="B156" s="1559"/>
      <c r="C156" s="1559"/>
      <c r="D156" s="287"/>
      <c r="P156" s="1083"/>
      <c r="Q156" s="1559"/>
      <c r="R156" s="1559"/>
      <c r="S156" s="1083"/>
      <c r="T156" s="1083"/>
      <c r="U156" s="1083"/>
      <c r="V156" s="1083"/>
      <c r="W156" s="1559"/>
      <c r="X156" s="1083"/>
      <c r="Y156" s="1083"/>
      <c r="Z156" s="480"/>
      <c r="AA156" s="1083"/>
      <c r="AB156" s="1083"/>
      <c r="AC156" s="1083"/>
      <c r="AD156" s="1083"/>
      <c r="AE156" s="1083"/>
      <c r="AF156" s="1555"/>
      <c r="AG156" s="502"/>
      <c r="AH156" s="502"/>
      <c r="AI156" s="502"/>
      <c r="AJ156" s="502"/>
      <c r="AK156" s="1564">
        <v>11</v>
      </c>
    </row>
    <row r="157" spans="1:37" s="1564" customFormat="1" ht="11.45" customHeight="1">
      <c r="A157" s="914"/>
      <c r="B157" s="1559"/>
      <c r="C157" s="1559"/>
      <c r="D157" s="287"/>
      <c r="P157" s="1083"/>
      <c r="Q157" s="1559"/>
      <c r="R157" s="1559"/>
      <c r="S157" s="1083"/>
      <c r="T157" s="1083"/>
      <c r="U157" s="1083"/>
      <c r="V157" s="1083"/>
      <c r="W157" s="1559"/>
      <c r="X157" s="1083"/>
      <c r="Y157" s="1083"/>
      <c r="Z157" s="480"/>
      <c r="AA157" s="1083"/>
      <c r="AB157" s="1083"/>
      <c r="AC157" s="1083"/>
      <c r="AD157" s="1083"/>
      <c r="AE157" s="1083"/>
      <c r="AF157" s="1555"/>
      <c r="AG157" s="502"/>
      <c r="AH157" s="502"/>
      <c r="AI157" s="502"/>
      <c r="AJ157" s="502"/>
      <c r="AK157" s="1564">
        <v>11</v>
      </c>
    </row>
    <row r="158" spans="1:37" s="1564" customFormat="1" ht="11.45" customHeight="1">
      <c r="A158" s="914"/>
      <c r="B158" s="1559"/>
      <c r="C158" s="1559"/>
      <c r="D158" s="287"/>
      <c r="P158" s="1083"/>
      <c r="Q158" s="1559"/>
      <c r="R158" s="1559"/>
      <c r="S158" s="1083"/>
      <c r="T158" s="1083"/>
      <c r="U158" s="1083"/>
      <c r="V158" s="1083"/>
      <c r="W158" s="1559"/>
      <c r="X158" s="1083"/>
      <c r="Y158" s="1083"/>
      <c r="Z158" s="480"/>
      <c r="AA158" s="1083"/>
      <c r="AB158" s="1083"/>
      <c r="AC158" s="1083"/>
      <c r="AD158" s="1083"/>
      <c r="AE158" s="1083"/>
      <c r="AF158" s="1555"/>
      <c r="AG158" s="502"/>
      <c r="AH158" s="502"/>
      <c r="AI158" s="502"/>
      <c r="AJ158" s="502"/>
      <c r="AK158" s="1564">
        <v>11</v>
      </c>
    </row>
    <row r="159" spans="1:37" s="1564" customFormat="1" ht="11.45" customHeight="1">
      <c r="A159" s="914"/>
      <c r="B159" s="1559"/>
      <c r="C159" s="1559"/>
      <c r="D159" s="287"/>
      <c r="P159" s="1083"/>
      <c r="Q159" s="1559"/>
      <c r="R159" s="1559"/>
      <c r="S159" s="1083"/>
      <c r="T159" s="1083"/>
      <c r="U159" s="1083"/>
      <c r="V159" s="1083"/>
      <c r="W159" s="1559"/>
      <c r="X159" s="1083"/>
      <c r="Y159" s="1083"/>
      <c r="Z159" s="480"/>
      <c r="AA159" s="1083"/>
      <c r="AB159" s="1083"/>
      <c r="AC159" s="1083"/>
      <c r="AD159" s="1083"/>
      <c r="AE159" s="1083"/>
      <c r="AF159" s="1555"/>
      <c r="AG159" s="502"/>
      <c r="AH159" s="502"/>
      <c r="AI159" s="502"/>
      <c r="AJ159" s="502"/>
      <c r="AK159" s="1564">
        <v>11</v>
      </c>
    </row>
    <row r="160" spans="1:37" s="1564" customFormat="1" ht="11.45" customHeight="1">
      <c r="A160" s="914"/>
      <c r="B160" s="1559"/>
      <c r="C160" s="1559"/>
      <c r="D160" s="287"/>
      <c r="P160" s="1083"/>
      <c r="Q160" s="1559"/>
      <c r="R160" s="1559"/>
      <c r="S160" s="1083"/>
      <c r="T160" s="1083"/>
      <c r="U160" s="1083"/>
      <c r="V160" s="1083"/>
      <c r="W160" s="1559"/>
      <c r="X160" s="1083"/>
      <c r="Y160" s="1083"/>
      <c r="Z160" s="480"/>
      <c r="AA160" s="1083"/>
      <c r="AB160" s="1083"/>
      <c r="AC160" s="1083"/>
      <c r="AD160" s="1083"/>
      <c r="AE160" s="1083"/>
      <c r="AF160" s="1555"/>
      <c r="AG160" s="502"/>
      <c r="AH160" s="502"/>
      <c r="AI160" s="502"/>
      <c r="AJ160" s="502"/>
      <c r="AK160" s="1564">
        <v>11</v>
      </c>
    </row>
    <row r="161" spans="1:37" s="1564" customFormat="1" ht="11.45" customHeight="1">
      <c r="A161" s="914"/>
      <c r="B161" s="1559"/>
      <c r="C161" s="1559"/>
      <c r="D161" s="287"/>
      <c r="P161" s="1083"/>
      <c r="Q161" s="1559"/>
      <c r="R161" s="1559"/>
      <c r="S161" s="1083"/>
      <c r="T161" s="1083"/>
      <c r="U161" s="1083"/>
      <c r="V161" s="1083"/>
      <c r="W161" s="1559"/>
      <c r="X161" s="1083"/>
      <c r="Y161" s="1083"/>
      <c r="Z161" s="480"/>
      <c r="AA161" s="1083"/>
      <c r="AB161" s="1083"/>
      <c r="AC161" s="1083"/>
      <c r="AD161" s="1083"/>
      <c r="AE161" s="1083"/>
      <c r="AF161" s="1555"/>
      <c r="AG161" s="502"/>
      <c r="AH161" s="502"/>
      <c r="AI161" s="502"/>
      <c r="AJ161" s="502"/>
      <c r="AK161" s="1564">
        <v>11</v>
      </c>
    </row>
    <row r="162" spans="1:37" s="1564" customFormat="1" ht="11.45" customHeight="1">
      <c r="A162" s="914"/>
      <c r="B162" s="1559"/>
      <c r="C162" s="1559"/>
      <c r="D162" s="287"/>
      <c r="P162" s="1083"/>
      <c r="Q162" s="1559"/>
      <c r="R162" s="1559"/>
      <c r="S162" s="1083"/>
      <c r="T162" s="1083"/>
      <c r="U162" s="1083"/>
      <c r="V162" s="1083"/>
      <c r="W162" s="1559"/>
      <c r="X162" s="1083"/>
      <c r="Y162" s="1083"/>
      <c r="Z162" s="480"/>
      <c r="AA162" s="1083"/>
      <c r="AB162" s="1083"/>
      <c r="AC162" s="1083"/>
      <c r="AD162" s="1083"/>
      <c r="AE162" s="1083"/>
      <c r="AF162" s="1555"/>
      <c r="AG162" s="502"/>
      <c r="AH162" s="502"/>
      <c r="AI162" s="502"/>
      <c r="AJ162" s="502"/>
      <c r="AK162" s="1564">
        <v>11</v>
      </c>
    </row>
    <row r="163" spans="1:37" s="1564" customFormat="1" ht="11.45" customHeight="1">
      <c r="A163" s="914"/>
      <c r="B163" s="1559"/>
      <c r="C163" s="1559"/>
      <c r="D163" s="287"/>
      <c r="P163" s="1083"/>
      <c r="Q163" s="1559"/>
      <c r="R163" s="1559"/>
      <c r="S163" s="1083"/>
      <c r="T163" s="1083"/>
      <c r="U163" s="1083"/>
      <c r="V163" s="1083"/>
      <c r="W163" s="1559"/>
      <c r="X163" s="1083"/>
      <c r="Y163" s="1083"/>
      <c r="Z163" s="480"/>
      <c r="AA163" s="1083"/>
      <c r="AB163" s="1083"/>
      <c r="AC163" s="1083"/>
      <c r="AD163" s="1083"/>
      <c r="AE163" s="1083"/>
      <c r="AF163" s="1555"/>
      <c r="AG163" s="502"/>
      <c r="AH163" s="502"/>
      <c r="AI163" s="502"/>
      <c r="AJ163" s="502"/>
      <c r="AK163" s="1564">
        <v>11</v>
      </c>
    </row>
    <row r="164" spans="1:37" s="1564" customFormat="1" ht="11.45" customHeight="1">
      <c r="A164" s="914"/>
      <c r="B164" s="1559"/>
      <c r="C164" s="1559"/>
      <c r="D164" s="287"/>
      <c r="P164" s="1083"/>
      <c r="Q164" s="1559"/>
      <c r="R164" s="1559"/>
      <c r="S164" s="1083"/>
      <c r="T164" s="1083"/>
      <c r="U164" s="1083"/>
      <c r="V164" s="1083"/>
      <c r="W164" s="1559"/>
      <c r="X164" s="1083"/>
      <c r="Y164" s="1083"/>
      <c r="Z164" s="480"/>
      <c r="AA164" s="1083"/>
      <c r="AB164" s="1083"/>
      <c r="AC164" s="1083"/>
      <c r="AD164" s="1083"/>
      <c r="AE164" s="1083"/>
      <c r="AF164" s="1555"/>
      <c r="AG164" s="502"/>
      <c r="AH164" s="502"/>
      <c r="AI164" s="502"/>
      <c r="AJ164" s="502"/>
      <c r="AK164" s="1564">
        <v>11</v>
      </c>
    </row>
    <row r="165" spans="1:37" s="1564" customFormat="1" ht="11.45" customHeight="1">
      <c r="A165" s="914"/>
      <c r="B165" s="1559"/>
      <c r="C165" s="1559"/>
      <c r="D165" s="287"/>
      <c r="P165" s="1083"/>
      <c r="Q165" s="1559"/>
      <c r="R165" s="1559"/>
      <c r="S165" s="1083"/>
      <c r="T165" s="1083"/>
      <c r="U165" s="1083"/>
      <c r="V165" s="1083"/>
      <c r="W165" s="1559"/>
      <c r="X165" s="1083"/>
      <c r="Y165" s="1083"/>
      <c r="Z165" s="480"/>
      <c r="AA165" s="1083"/>
      <c r="AB165" s="1083"/>
      <c r="AC165" s="1083"/>
      <c r="AD165" s="1083"/>
      <c r="AE165" s="1083"/>
      <c r="AF165" s="1555"/>
      <c r="AG165" s="502"/>
      <c r="AH165" s="502"/>
      <c r="AI165" s="502"/>
      <c r="AJ165" s="502"/>
      <c r="AK165" s="1564">
        <v>11</v>
      </c>
    </row>
    <row r="166" spans="1:37" s="1564" customFormat="1" ht="11.45" customHeight="1">
      <c r="A166" s="914"/>
      <c r="B166" s="1559"/>
      <c r="C166" s="1559"/>
      <c r="D166" s="287"/>
      <c r="P166" s="1083"/>
      <c r="Q166" s="1559"/>
      <c r="R166" s="1559"/>
      <c r="S166" s="1083"/>
      <c r="T166" s="1083"/>
      <c r="U166" s="1083"/>
      <c r="V166" s="1083"/>
      <c r="W166" s="1559"/>
      <c r="X166" s="1083"/>
      <c r="Y166" s="1083"/>
      <c r="Z166" s="480"/>
      <c r="AA166" s="1083"/>
      <c r="AB166" s="1083"/>
      <c r="AC166" s="1083"/>
      <c r="AD166" s="1083"/>
      <c r="AE166" s="1083"/>
      <c r="AF166" s="1555"/>
      <c r="AG166" s="502"/>
      <c r="AH166" s="502"/>
      <c r="AI166" s="502"/>
      <c r="AJ166" s="502"/>
      <c r="AK166" s="1564">
        <v>11</v>
      </c>
    </row>
    <row r="167" spans="1:37" s="1564" customFormat="1" ht="11.45" customHeight="1">
      <c r="A167" s="914"/>
      <c r="B167" s="1559"/>
      <c r="C167" s="1559"/>
      <c r="D167" s="287"/>
      <c r="P167" s="1083"/>
      <c r="Q167" s="1559"/>
      <c r="R167" s="1559"/>
      <c r="S167" s="1083"/>
      <c r="T167" s="1083"/>
      <c r="U167" s="1083"/>
      <c r="V167" s="1083"/>
      <c r="W167" s="1559"/>
      <c r="X167" s="1083"/>
      <c r="Y167" s="1083"/>
      <c r="Z167" s="480"/>
      <c r="AA167" s="1083"/>
      <c r="AB167" s="1083"/>
      <c r="AC167" s="1083"/>
      <c r="AD167" s="1083"/>
      <c r="AE167" s="1083"/>
      <c r="AF167" s="1555"/>
      <c r="AG167" s="502"/>
      <c r="AH167" s="502"/>
      <c r="AI167" s="502"/>
      <c r="AJ167" s="502"/>
      <c r="AK167" s="1564">
        <v>11</v>
      </c>
    </row>
    <row r="168" spans="1:37" s="1564" customFormat="1" ht="11.45" customHeight="1">
      <c r="A168" s="914"/>
      <c r="B168" s="1559"/>
      <c r="C168" s="1559"/>
      <c r="D168" s="287"/>
      <c r="P168" s="1083"/>
      <c r="Q168" s="1559"/>
      <c r="R168" s="1559"/>
      <c r="S168" s="1083"/>
      <c r="T168" s="1083"/>
      <c r="U168" s="1083"/>
      <c r="V168" s="1083"/>
      <c r="W168" s="1559"/>
      <c r="X168" s="1083"/>
      <c r="Y168" s="1083"/>
      <c r="Z168" s="480"/>
      <c r="AA168" s="1083"/>
      <c r="AB168" s="1083"/>
      <c r="AC168" s="1083"/>
      <c r="AD168" s="1083"/>
      <c r="AE168" s="1083"/>
      <c r="AF168" s="1555"/>
      <c r="AG168" s="502"/>
      <c r="AH168" s="502"/>
      <c r="AI168" s="502"/>
      <c r="AJ168" s="502"/>
      <c r="AK168" s="1564">
        <v>11</v>
      </c>
    </row>
    <row r="169" spans="1:37" s="1564" customFormat="1" ht="11.45" customHeight="1">
      <c r="A169" s="914"/>
      <c r="B169" s="1559"/>
      <c r="C169" s="1559"/>
      <c r="D169" s="287"/>
      <c r="P169" s="1083"/>
      <c r="Q169" s="1559"/>
      <c r="R169" s="1559"/>
      <c r="S169" s="1083"/>
      <c r="T169" s="1083"/>
      <c r="U169" s="1083"/>
      <c r="V169" s="1083"/>
      <c r="W169" s="1559"/>
      <c r="X169" s="1083"/>
      <c r="Y169" s="1083"/>
      <c r="Z169" s="480"/>
      <c r="AA169" s="1083"/>
      <c r="AB169" s="1083"/>
      <c r="AC169" s="1083"/>
      <c r="AD169" s="1083"/>
      <c r="AE169" s="1083"/>
      <c r="AF169" s="1555"/>
      <c r="AG169" s="502"/>
      <c r="AH169" s="502"/>
      <c r="AI169" s="502"/>
      <c r="AJ169" s="502"/>
      <c r="AK169" s="1564">
        <v>11</v>
      </c>
    </row>
    <row r="170" spans="1:37" s="1564" customFormat="1" ht="11.45" customHeight="1">
      <c r="A170" s="914"/>
      <c r="B170" s="1559"/>
      <c r="C170" s="1559"/>
      <c r="D170" s="287"/>
      <c r="P170" s="1083"/>
      <c r="Q170" s="1559"/>
      <c r="R170" s="1559"/>
      <c r="S170" s="1083"/>
      <c r="T170" s="1083"/>
      <c r="U170" s="1083"/>
      <c r="V170" s="1083"/>
      <c r="W170" s="1559"/>
      <c r="X170" s="1083"/>
      <c r="Y170" s="1083"/>
      <c r="Z170" s="480"/>
      <c r="AA170" s="1083"/>
      <c r="AB170" s="1083"/>
      <c r="AC170" s="1083"/>
      <c r="AD170" s="1083"/>
      <c r="AE170" s="1083"/>
      <c r="AF170" s="1555"/>
      <c r="AG170" s="502"/>
      <c r="AH170" s="502"/>
      <c r="AI170" s="502"/>
      <c r="AJ170" s="502"/>
      <c r="AK170" s="1564">
        <v>11</v>
      </c>
    </row>
    <row r="171" spans="1:37" s="1564" customFormat="1" ht="11.45" customHeight="1">
      <c r="A171" s="914"/>
      <c r="B171" s="1559"/>
      <c r="C171" s="1559"/>
      <c r="D171" s="287"/>
      <c r="P171" s="1083"/>
      <c r="Q171" s="1559"/>
      <c r="R171" s="1559"/>
      <c r="S171" s="1083"/>
      <c r="T171" s="1083"/>
      <c r="U171" s="1083"/>
      <c r="V171" s="1083"/>
      <c r="W171" s="1559"/>
      <c r="X171" s="1083"/>
      <c r="Y171" s="1083"/>
      <c r="Z171" s="480"/>
      <c r="AA171" s="1083"/>
      <c r="AB171" s="1083"/>
      <c r="AC171" s="1083"/>
      <c r="AD171" s="1083"/>
      <c r="AE171" s="1083"/>
      <c r="AF171" s="1555"/>
      <c r="AG171" s="502"/>
      <c r="AH171" s="502"/>
      <c r="AI171" s="502"/>
      <c r="AJ171" s="502"/>
      <c r="AK171" s="1564">
        <v>11</v>
      </c>
    </row>
    <row r="172" spans="1:37" s="1564" customFormat="1" ht="11.45" customHeight="1">
      <c r="A172" s="914"/>
      <c r="B172" s="1559"/>
      <c r="C172" s="1559"/>
      <c r="D172" s="287"/>
      <c r="P172" s="1083"/>
      <c r="Q172" s="1559"/>
      <c r="R172" s="1559"/>
      <c r="S172" s="1083"/>
      <c r="T172" s="1083"/>
      <c r="U172" s="1083"/>
      <c r="V172" s="1083"/>
      <c r="W172" s="1559"/>
      <c r="X172" s="1083"/>
      <c r="Y172" s="1083"/>
      <c r="Z172" s="480"/>
      <c r="AA172" s="1083"/>
      <c r="AB172" s="1083"/>
      <c r="AC172" s="1083"/>
      <c r="AD172" s="1083"/>
      <c r="AE172" s="1083"/>
      <c r="AF172" s="1555"/>
      <c r="AG172" s="502"/>
      <c r="AH172" s="502"/>
      <c r="AI172" s="502"/>
      <c r="AJ172" s="502"/>
      <c r="AK172" s="1564">
        <v>11</v>
      </c>
    </row>
    <row r="173" spans="1:37" s="1564" customFormat="1" ht="11.45" customHeight="1">
      <c r="A173" s="914"/>
      <c r="B173" s="1559"/>
      <c r="C173" s="1559"/>
      <c r="D173" s="287"/>
      <c r="P173" s="1083"/>
      <c r="Q173" s="1559"/>
      <c r="R173" s="1559"/>
      <c r="S173" s="1083"/>
      <c r="T173" s="1083"/>
      <c r="U173" s="1083"/>
      <c r="V173" s="1083"/>
      <c r="W173" s="1559"/>
      <c r="X173" s="1083"/>
      <c r="Y173" s="1083"/>
      <c r="Z173" s="480"/>
      <c r="AA173" s="1083"/>
      <c r="AB173" s="1083"/>
      <c r="AC173" s="1083"/>
      <c r="AD173" s="1083"/>
      <c r="AE173" s="1083"/>
      <c r="AF173" s="1555"/>
      <c r="AG173" s="502"/>
      <c r="AH173" s="502"/>
      <c r="AI173" s="502"/>
      <c r="AJ173" s="502"/>
      <c r="AK173" s="1564">
        <v>11</v>
      </c>
    </row>
    <row r="174" spans="1:37" s="1564" customFormat="1" ht="11.45" customHeight="1">
      <c r="A174" s="914"/>
      <c r="B174" s="1559"/>
      <c r="C174" s="1559"/>
      <c r="D174" s="287"/>
      <c r="P174" s="1083"/>
      <c r="Q174" s="1559"/>
      <c r="R174" s="1559"/>
      <c r="S174" s="1083"/>
      <c r="T174" s="1083"/>
      <c r="U174" s="1083"/>
      <c r="V174" s="1083"/>
      <c r="W174" s="1559"/>
      <c r="X174" s="1083"/>
      <c r="Y174" s="1083"/>
      <c r="Z174" s="480"/>
      <c r="AA174" s="1083"/>
      <c r="AB174" s="1083"/>
      <c r="AC174" s="1083"/>
      <c r="AD174" s="1083"/>
      <c r="AE174" s="1083"/>
      <c r="AF174" s="1555"/>
      <c r="AG174" s="502"/>
      <c r="AH174" s="502"/>
      <c r="AI174" s="502"/>
      <c r="AJ174" s="502"/>
      <c r="AK174" s="1564">
        <v>11</v>
      </c>
    </row>
    <row r="175" spans="1:37" s="1564" customFormat="1" ht="11.45" customHeight="1">
      <c r="A175" s="914"/>
      <c r="B175" s="1559"/>
      <c r="C175" s="1559"/>
      <c r="D175" s="287"/>
      <c r="P175" s="1083"/>
      <c r="Q175" s="1559"/>
      <c r="R175" s="1559"/>
      <c r="S175" s="1083"/>
      <c r="T175" s="1083"/>
      <c r="U175" s="1083"/>
      <c r="V175" s="1083"/>
      <c r="W175" s="1559"/>
      <c r="X175" s="1083"/>
      <c r="Y175" s="1083"/>
      <c r="Z175" s="480"/>
      <c r="AA175" s="1083"/>
      <c r="AB175" s="1083"/>
      <c r="AC175" s="1083"/>
      <c r="AD175" s="1083"/>
      <c r="AE175" s="1083"/>
      <c r="AF175" s="1555"/>
      <c r="AG175" s="502"/>
      <c r="AH175" s="502"/>
      <c r="AI175" s="502"/>
      <c r="AJ175" s="502"/>
      <c r="AK175" s="1564">
        <v>11</v>
      </c>
    </row>
    <row r="176" spans="1:37" s="1564" customFormat="1" ht="11.45" customHeight="1">
      <c r="A176" s="914"/>
      <c r="B176" s="1559"/>
      <c r="C176" s="1559"/>
      <c r="D176" s="287"/>
      <c r="P176" s="1083"/>
      <c r="Q176" s="1559"/>
      <c r="R176" s="1559"/>
      <c r="S176" s="1083"/>
      <c r="T176" s="1083"/>
      <c r="U176" s="1083"/>
      <c r="V176" s="1083"/>
      <c r="W176" s="1559"/>
      <c r="X176" s="1083"/>
      <c r="Y176" s="1083"/>
      <c r="Z176" s="480"/>
      <c r="AA176" s="1083"/>
      <c r="AB176" s="1083"/>
      <c r="AC176" s="1083"/>
      <c r="AD176" s="1083"/>
      <c r="AE176" s="1083"/>
      <c r="AF176" s="1555"/>
      <c r="AG176" s="502"/>
      <c r="AH176" s="502"/>
      <c r="AI176" s="502"/>
      <c r="AJ176" s="502"/>
      <c r="AK176" s="1564">
        <v>11</v>
      </c>
    </row>
    <row r="177" spans="1:37" s="1564" customFormat="1" ht="11.45" customHeight="1">
      <c r="A177" s="914"/>
      <c r="B177" s="1559"/>
      <c r="C177" s="1559"/>
      <c r="D177" s="287"/>
      <c r="P177" s="1083"/>
      <c r="Q177" s="1559"/>
      <c r="R177" s="1559"/>
      <c r="S177" s="1083"/>
      <c r="T177" s="1083"/>
      <c r="U177" s="1083"/>
      <c r="V177" s="1083"/>
      <c r="W177" s="1559"/>
      <c r="X177" s="1083"/>
      <c r="Y177" s="1083"/>
      <c r="Z177" s="480"/>
      <c r="AA177" s="1083"/>
      <c r="AB177" s="1083"/>
      <c r="AC177" s="1083"/>
      <c r="AD177" s="1083"/>
      <c r="AE177" s="1083"/>
      <c r="AF177" s="1555"/>
      <c r="AG177" s="502"/>
      <c r="AH177" s="502"/>
      <c r="AI177" s="502"/>
      <c r="AJ177" s="502"/>
      <c r="AK177" s="1564">
        <v>11</v>
      </c>
    </row>
    <row r="178" spans="1:37" s="1564" customFormat="1" ht="11.45" customHeight="1">
      <c r="A178" s="914"/>
      <c r="B178" s="1559"/>
      <c r="C178" s="1559"/>
      <c r="D178" s="287"/>
      <c r="P178" s="1083"/>
      <c r="Q178" s="1559"/>
      <c r="R178" s="1559"/>
      <c r="S178" s="1083"/>
      <c r="T178" s="1083"/>
      <c r="U178" s="1083"/>
      <c r="V178" s="1083"/>
      <c r="W178" s="1559"/>
      <c r="X178" s="1083"/>
      <c r="Y178" s="1083"/>
      <c r="Z178" s="480"/>
      <c r="AA178" s="1083"/>
      <c r="AB178" s="1083"/>
      <c r="AC178" s="1083"/>
      <c r="AD178" s="1083"/>
      <c r="AE178" s="1083"/>
      <c r="AF178" s="1555"/>
      <c r="AG178" s="502"/>
      <c r="AH178" s="502"/>
      <c r="AI178" s="502"/>
      <c r="AJ178" s="502"/>
      <c r="AK178" s="1564">
        <v>11</v>
      </c>
    </row>
    <row r="179" spans="1:37" s="1564" customFormat="1" ht="11.45" customHeight="1">
      <c r="A179" s="914"/>
      <c r="B179" s="1559"/>
      <c r="C179" s="1559"/>
      <c r="D179" s="287"/>
      <c r="P179" s="1083"/>
      <c r="Q179" s="1559"/>
      <c r="R179" s="1559"/>
      <c r="S179" s="1083"/>
      <c r="T179" s="1083"/>
      <c r="U179" s="1083"/>
      <c r="V179" s="1083"/>
      <c r="W179" s="1559"/>
      <c r="X179" s="1083"/>
      <c r="Y179" s="1083"/>
      <c r="Z179" s="480"/>
      <c r="AA179" s="1083"/>
      <c r="AB179" s="1083"/>
      <c r="AC179" s="1083"/>
      <c r="AD179" s="1083"/>
      <c r="AE179" s="1083"/>
      <c r="AF179" s="1555"/>
      <c r="AG179" s="502"/>
      <c r="AH179" s="502"/>
      <c r="AI179" s="502"/>
      <c r="AJ179" s="502"/>
      <c r="AK179" s="1564">
        <v>11</v>
      </c>
    </row>
    <row r="180" spans="1:37" s="1564" customFormat="1" ht="11.45" customHeight="1">
      <c r="A180" s="914"/>
      <c r="B180" s="1559"/>
      <c r="C180" s="1559"/>
      <c r="D180" s="287"/>
      <c r="P180" s="1083"/>
      <c r="Q180" s="1559"/>
      <c r="R180" s="1559"/>
      <c r="S180" s="1083"/>
      <c r="T180" s="1083"/>
      <c r="U180" s="1083"/>
      <c r="V180" s="1083"/>
      <c r="W180" s="1559"/>
      <c r="X180" s="1083"/>
      <c r="Y180" s="1083"/>
      <c r="Z180" s="480"/>
      <c r="AA180" s="1083"/>
      <c r="AB180" s="1083"/>
      <c r="AC180" s="1083"/>
      <c r="AD180" s="1083"/>
      <c r="AE180" s="1083"/>
      <c r="AF180" s="1555"/>
      <c r="AG180" s="502"/>
      <c r="AH180" s="502"/>
      <c r="AI180" s="502"/>
      <c r="AJ180" s="502"/>
      <c r="AK180" s="1564">
        <v>11</v>
      </c>
    </row>
    <row r="181" spans="1:37" s="1564" customFormat="1" ht="11.45" customHeight="1">
      <c r="A181" s="914"/>
      <c r="B181" s="1559"/>
      <c r="C181" s="1559"/>
      <c r="D181" s="287"/>
      <c r="P181" s="1083"/>
      <c r="Q181" s="1559"/>
      <c r="R181" s="1559"/>
      <c r="S181" s="1083"/>
      <c r="T181" s="1083"/>
      <c r="U181" s="1083"/>
      <c r="V181" s="1083"/>
      <c r="W181" s="1559"/>
      <c r="X181" s="1083"/>
      <c r="Y181" s="1083"/>
      <c r="Z181" s="480"/>
      <c r="AA181" s="1083"/>
      <c r="AB181" s="1083"/>
      <c r="AC181" s="1083"/>
      <c r="AD181" s="1083"/>
      <c r="AE181" s="1083"/>
      <c r="AF181" s="1555"/>
      <c r="AG181" s="502"/>
      <c r="AH181" s="502"/>
      <c r="AI181" s="502"/>
      <c r="AJ181" s="502"/>
      <c r="AK181" s="1564">
        <v>11</v>
      </c>
    </row>
    <row r="182" spans="1:37" s="1564" customFormat="1" ht="11.45" customHeight="1">
      <c r="A182" s="914"/>
      <c r="B182" s="1559"/>
      <c r="C182" s="1559"/>
      <c r="D182" s="287"/>
      <c r="P182" s="1083"/>
      <c r="Q182" s="1559"/>
      <c r="R182" s="1559"/>
      <c r="S182" s="1083"/>
      <c r="T182" s="1083"/>
      <c r="U182" s="1083"/>
      <c r="V182" s="1083"/>
      <c r="W182" s="1559"/>
      <c r="X182" s="1083"/>
      <c r="Y182" s="1083"/>
      <c r="Z182" s="480"/>
      <c r="AA182" s="1083"/>
      <c r="AB182" s="1083"/>
      <c r="AC182" s="1083"/>
      <c r="AD182" s="1083"/>
      <c r="AE182" s="1083"/>
      <c r="AF182" s="1555"/>
      <c r="AG182" s="502"/>
      <c r="AH182" s="502"/>
      <c r="AI182" s="502"/>
      <c r="AJ182" s="502"/>
      <c r="AK182" s="1564">
        <v>11</v>
      </c>
    </row>
    <row r="183" spans="1:37" s="1564" customFormat="1" ht="11.45" customHeight="1">
      <c r="A183" s="914"/>
      <c r="B183" s="1559"/>
      <c r="C183" s="1559"/>
      <c r="D183" s="287"/>
      <c r="P183" s="1083"/>
      <c r="Q183" s="1559"/>
      <c r="R183" s="1559"/>
      <c r="S183" s="1083"/>
      <c r="T183" s="1083"/>
      <c r="U183" s="1083"/>
      <c r="V183" s="1083"/>
      <c r="W183" s="1559"/>
      <c r="X183" s="1083"/>
      <c r="Y183" s="1083"/>
      <c r="Z183" s="480"/>
      <c r="AA183" s="1083"/>
      <c r="AB183" s="1083"/>
      <c r="AC183" s="1083"/>
      <c r="AD183" s="1083"/>
      <c r="AE183" s="1083"/>
      <c r="AF183" s="1555"/>
      <c r="AG183" s="502"/>
      <c r="AH183" s="502"/>
      <c r="AI183" s="502"/>
      <c r="AJ183" s="502"/>
      <c r="AK183" s="1564">
        <v>11</v>
      </c>
    </row>
    <row r="184" spans="1:37" s="1564" customFormat="1" ht="11.45" customHeight="1">
      <c r="A184" s="914"/>
      <c r="B184" s="1559"/>
      <c r="C184" s="1559"/>
      <c r="D184" s="287"/>
      <c r="P184" s="1083"/>
      <c r="Q184" s="1559"/>
      <c r="R184" s="1559"/>
      <c r="S184" s="1083"/>
      <c r="T184" s="1083"/>
      <c r="U184" s="1083"/>
      <c r="V184" s="1083"/>
      <c r="W184" s="1559"/>
      <c r="X184" s="1083"/>
      <c r="Y184" s="1083"/>
      <c r="Z184" s="480"/>
      <c r="AA184" s="1083"/>
      <c r="AB184" s="1083"/>
      <c r="AC184" s="1083"/>
      <c r="AD184" s="1083"/>
      <c r="AE184" s="1083"/>
      <c r="AF184" s="1555"/>
      <c r="AG184" s="502"/>
      <c r="AH184" s="502"/>
      <c r="AI184" s="502"/>
      <c r="AJ184" s="502"/>
      <c r="AK184" s="1564">
        <v>11</v>
      </c>
    </row>
    <row r="185" spans="1:37" s="1564" customFormat="1" ht="11.45" customHeight="1">
      <c r="A185" s="914"/>
      <c r="B185" s="1559"/>
      <c r="C185" s="1559"/>
      <c r="D185" s="287"/>
      <c r="P185" s="1083"/>
      <c r="Q185" s="1559"/>
      <c r="R185" s="1559"/>
      <c r="S185" s="1083"/>
      <c r="T185" s="1083"/>
      <c r="U185" s="1083"/>
      <c r="V185" s="1083"/>
      <c r="W185" s="1559"/>
      <c r="X185" s="1083"/>
      <c r="Y185" s="1083"/>
      <c r="Z185" s="480"/>
      <c r="AA185" s="1083"/>
      <c r="AB185" s="1083"/>
      <c r="AC185" s="1083"/>
      <c r="AD185" s="1083"/>
      <c r="AE185" s="1083"/>
      <c r="AF185" s="1555"/>
      <c r="AG185" s="502"/>
      <c r="AH185" s="502"/>
      <c r="AI185" s="502"/>
      <c r="AJ185" s="502"/>
      <c r="AK185" s="1564">
        <v>11</v>
      </c>
    </row>
    <row r="186" spans="1:37" s="1564" customFormat="1" ht="11.45" customHeight="1">
      <c r="A186" s="914"/>
      <c r="B186" s="1559"/>
      <c r="C186" s="1559"/>
      <c r="D186" s="287"/>
      <c r="P186" s="1083"/>
      <c r="Q186" s="1559"/>
      <c r="R186" s="1559"/>
      <c r="S186" s="1083"/>
      <c r="T186" s="1083"/>
      <c r="U186" s="1083"/>
      <c r="V186" s="1083"/>
      <c r="W186" s="1559"/>
      <c r="X186" s="1083"/>
      <c r="Y186" s="1083"/>
      <c r="Z186" s="480"/>
      <c r="AA186" s="1083"/>
      <c r="AB186" s="1083"/>
      <c r="AC186" s="1083"/>
      <c r="AD186" s="1083"/>
      <c r="AE186" s="1083"/>
      <c r="AF186" s="1555"/>
      <c r="AG186" s="502"/>
      <c r="AH186" s="502"/>
      <c r="AI186" s="502"/>
      <c r="AJ186" s="502"/>
      <c r="AK186" s="1564">
        <v>11</v>
      </c>
    </row>
    <row r="187" spans="1:37" s="1564" customFormat="1" ht="11.45" customHeight="1">
      <c r="A187" s="914"/>
      <c r="B187" s="1559"/>
      <c r="C187" s="1559"/>
      <c r="D187" s="287"/>
      <c r="P187" s="1083"/>
      <c r="Q187" s="1559"/>
      <c r="R187" s="1559"/>
      <c r="S187" s="1083"/>
      <c r="T187" s="1083"/>
      <c r="U187" s="1083"/>
      <c r="V187" s="1083"/>
      <c r="W187" s="1559"/>
      <c r="X187" s="1083"/>
      <c r="Y187" s="1083"/>
      <c r="Z187" s="480"/>
      <c r="AA187" s="1083"/>
      <c r="AB187" s="1083"/>
      <c r="AC187" s="1083"/>
      <c r="AD187" s="1083"/>
      <c r="AE187" s="1083"/>
      <c r="AF187" s="1555"/>
      <c r="AG187" s="502"/>
      <c r="AH187" s="502"/>
      <c r="AI187" s="502"/>
      <c r="AJ187" s="502"/>
      <c r="AK187" s="1564">
        <v>11</v>
      </c>
    </row>
    <row r="188" spans="1:37" s="1564" customFormat="1" ht="11.45" customHeight="1">
      <c r="A188" s="914"/>
      <c r="B188" s="1559"/>
      <c r="C188" s="1559"/>
      <c r="D188" s="287"/>
      <c r="P188" s="1083"/>
      <c r="Q188" s="1559"/>
      <c r="R188" s="1559"/>
      <c r="S188" s="1083"/>
      <c r="T188" s="1083"/>
      <c r="U188" s="1083"/>
      <c r="V188" s="1083"/>
      <c r="W188" s="1559"/>
      <c r="X188" s="1083"/>
      <c r="Y188" s="1083"/>
      <c r="Z188" s="480"/>
      <c r="AA188" s="1083"/>
      <c r="AB188" s="1083"/>
      <c r="AC188" s="1083"/>
      <c r="AD188" s="1083"/>
      <c r="AE188" s="1083"/>
      <c r="AF188" s="1555"/>
      <c r="AG188" s="502"/>
      <c r="AH188" s="502"/>
      <c r="AI188" s="502"/>
      <c r="AJ188" s="502"/>
      <c r="AK188" s="1564">
        <v>11</v>
      </c>
    </row>
    <row r="189" spans="1:37" s="1564" customFormat="1" ht="11.45" customHeight="1">
      <c r="A189" s="914"/>
      <c r="B189" s="1559"/>
      <c r="C189" s="1559"/>
      <c r="D189" s="287"/>
      <c r="P189" s="1083"/>
      <c r="Q189" s="1559"/>
      <c r="R189" s="1559"/>
      <c r="S189" s="1083"/>
      <c r="T189" s="1083"/>
      <c r="U189" s="1083"/>
      <c r="V189" s="1083"/>
      <c r="W189" s="1559"/>
      <c r="X189" s="1083"/>
      <c r="Y189" s="1083"/>
      <c r="Z189" s="480"/>
      <c r="AA189" s="1083"/>
      <c r="AB189" s="1083"/>
      <c r="AC189" s="1083"/>
      <c r="AD189" s="1083"/>
      <c r="AE189" s="1083"/>
      <c r="AF189" s="1555"/>
      <c r="AG189" s="502"/>
      <c r="AH189" s="502"/>
      <c r="AI189" s="502"/>
      <c r="AJ189" s="502"/>
      <c r="AK189" s="1564">
        <v>11</v>
      </c>
    </row>
    <row r="190" spans="1:37" s="1564" customFormat="1" ht="11.45" customHeight="1">
      <c r="A190" s="914"/>
      <c r="B190" s="1559"/>
      <c r="C190" s="1559"/>
      <c r="D190" s="287"/>
      <c r="P190" s="1083"/>
      <c r="Q190" s="1559"/>
      <c r="R190" s="1559"/>
      <c r="S190" s="1083"/>
      <c r="T190" s="1083"/>
      <c r="U190" s="1083"/>
      <c r="V190" s="1083"/>
      <c r="W190" s="1559"/>
      <c r="X190" s="1083"/>
      <c r="Y190" s="1083"/>
      <c r="Z190" s="480"/>
      <c r="AA190" s="1083"/>
      <c r="AB190" s="1083"/>
      <c r="AC190" s="1083"/>
      <c r="AD190" s="1083"/>
      <c r="AE190" s="1083"/>
      <c r="AF190" s="1555"/>
      <c r="AG190" s="502"/>
      <c r="AH190" s="502"/>
      <c r="AI190" s="502"/>
      <c r="AJ190" s="502"/>
      <c r="AK190" s="1564">
        <v>11</v>
      </c>
    </row>
    <row r="191" spans="1:37" s="1564" customFormat="1" ht="11.45" customHeight="1">
      <c r="A191" s="914"/>
      <c r="B191" s="1559"/>
      <c r="C191" s="1559"/>
      <c r="D191" s="287"/>
      <c r="P191" s="1083"/>
      <c r="Q191" s="1559"/>
      <c r="R191" s="1559"/>
      <c r="S191" s="1083"/>
      <c r="T191" s="1083"/>
      <c r="U191" s="1083"/>
      <c r="V191" s="1083"/>
      <c r="W191" s="1559"/>
      <c r="X191" s="1083"/>
      <c r="Y191" s="1083"/>
      <c r="Z191" s="480"/>
      <c r="AA191" s="1083"/>
      <c r="AB191" s="1083"/>
      <c r="AC191" s="1083"/>
      <c r="AD191" s="1083"/>
      <c r="AE191" s="1083"/>
      <c r="AF191" s="1555"/>
      <c r="AG191" s="502"/>
      <c r="AH191" s="502"/>
      <c r="AI191" s="502"/>
      <c r="AJ191" s="502"/>
      <c r="AK191" s="1564">
        <v>11</v>
      </c>
    </row>
    <row r="192" spans="1:37" s="1564" customFormat="1" ht="11.45" customHeight="1">
      <c r="A192" s="914"/>
      <c r="B192" s="1559"/>
      <c r="C192" s="1559"/>
      <c r="D192" s="287"/>
      <c r="P192" s="1083"/>
      <c r="Q192" s="1559"/>
      <c r="R192" s="1559"/>
      <c r="S192" s="1083"/>
      <c r="T192" s="1083"/>
      <c r="U192" s="1083"/>
      <c r="V192" s="1083"/>
      <c r="W192" s="1559"/>
      <c r="X192" s="1083"/>
      <c r="Y192" s="1083"/>
      <c r="Z192" s="480"/>
      <c r="AA192" s="1083"/>
      <c r="AB192" s="1083"/>
      <c r="AC192" s="1083"/>
      <c r="AD192" s="1083"/>
      <c r="AE192" s="1083"/>
      <c r="AF192" s="1555"/>
      <c r="AG192" s="502"/>
      <c r="AH192" s="502"/>
      <c r="AI192" s="502"/>
      <c r="AJ192" s="502"/>
      <c r="AK192" s="1564">
        <v>11</v>
      </c>
    </row>
    <row r="193" spans="1:37" s="1564" customFormat="1" ht="11.45" customHeight="1">
      <c r="A193" s="914"/>
      <c r="B193" s="1559"/>
      <c r="C193" s="1559"/>
      <c r="D193" s="287"/>
      <c r="P193" s="1083"/>
      <c r="Q193" s="1559"/>
      <c r="R193" s="1559"/>
      <c r="S193" s="1083"/>
      <c r="T193" s="1083"/>
      <c r="U193" s="1083"/>
      <c r="V193" s="1083"/>
      <c r="W193" s="1559"/>
      <c r="X193" s="1083"/>
      <c r="Y193" s="1083"/>
      <c r="Z193" s="480"/>
      <c r="AA193" s="1083"/>
      <c r="AB193" s="1083"/>
      <c r="AC193" s="1083"/>
      <c r="AD193" s="1083"/>
      <c r="AE193" s="1083"/>
      <c r="AF193" s="1555"/>
      <c r="AG193" s="502"/>
      <c r="AH193" s="502"/>
      <c r="AI193" s="502"/>
      <c r="AJ193" s="502"/>
      <c r="AK193" s="1564">
        <v>11</v>
      </c>
    </row>
    <row r="194" spans="1:37" s="1564" customFormat="1" ht="11.45" customHeight="1">
      <c r="A194" s="914"/>
      <c r="B194" s="1559"/>
      <c r="C194" s="1559"/>
      <c r="D194" s="287"/>
      <c r="P194" s="1083"/>
      <c r="Q194" s="1559"/>
      <c r="R194" s="1559"/>
      <c r="S194" s="1083"/>
      <c r="T194" s="1083"/>
      <c r="U194" s="1083"/>
      <c r="V194" s="1083"/>
      <c r="W194" s="1559"/>
      <c r="X194" s="1083"/>
      <c r="Y194" s="1083"/>
      <c r="Z194" s="480"/>
      <c r="AA194" s="1083"/>
      <c r="AB194" s="1083"/>
      <c r="AC194" s="1083"/>
      <c r="AD194" s="1083"/>
      <c r="AE194" s="1083"/>
      <c r="AF194" s="1555"/>
      <c r="AG194" s="502"/>
      <c r="AH194" s="502"/>
      <c r="AI194" s="502"/>
      <c r="AJ194" s="502"/>
      <c r="AK194" s="1564">
        <v>11</v>
      </c>
    </row>
    <row r="195" spans="1:37" s="1564" customFormat="1" ht="11.45" customHeight="1">
      <c r="A195" s="914"/>
      <c r="B195" s="1559"/>
      <c r="C195" s="1559"/>
      <c r="D195" s="287"/>
      <c r="P195" s="1083"/>
      <c r="Q195" s="1559"/>
      <c r="R195" s="1559"/>
      <c r="S195" s="1083"/>
      <c r="T195" s="1083"/>
      <c r="U195" s="1083"/>
      <c r="V195" s="1083"/>
      <c r="W195" s="1559"/>
      <c r="X195" s="1083"/>
      <c r="Y195" s="1083"/>
      <c r="Z195" s="480"/>
      <c r="AA195" s="1083"/>
      <c r="AB195" s="1083"/>
      <c r="AC195" s="1083"/>
      <c r="AD195" s="1083"/>
      <c r="AE195" s="1083"/>
      <c r="AF195" s="1555"/>
      <c r="AG195" s="502"/>
      <c r="AH195" s="502"/>
      <c r="AI195" s="502"/>
      <c r="AJ195" s="502"/>
      <c r="AK195" s="1564">
        <v>11</v>
      </c>
    </row>
    <row r="196" spans="1:37" s="1564" customFormat="1" ht="11.45" customHeight="1">
      <c r="A196" s="914"/>
      <c r="B196" s="1559"/>
      <c r="C196" s="1559"/>
      <c r="D196" s="287"/>
      <c r="P196" s="1083"/>
      <c r="Q196" s="1559"/>
      <c r="R196" s="1559"/>
      <c r="S196" s="1083"/>
      <c r="T196" s="1083"/>
      <c r="U196" s="1083"/>
      <c r="V196" s="1083"/>
      <c r="W196" s="1559"/>
      <c r="X196" s="1083"/>
      <c r="Y196" s="1083"/>
      <c r="Z196" s="480"/>
      <c r="AA196" s="1083"/>
      <c r="AB196" s="1083"/>
      <c r="AC196" s="1083"/>
      <c r="AD196" s="1083"/>
      <c r="AE196" s="1083"/>
      <c r="AF196" s="1555"/>
      <c r="AG196" s="502"/>
      <c r="AH196" s="502"/>
      <c r="AI196" s="502"/>
      <c r="AJ196" s="502"/>
      <c r="AK196" s="1564">
        <v>11</v>
      </c>
    </row>
    <row r="197" spans="1:37" s="1564" customFormat="1" ht="11.45" customHeight="1">
      <c r="A197" s="914"/>
      <c r="B197" s="1559"/>
      <c r="C197" s="1559"/>
      <c r="D197" s="287"/>
      <c r="P197" s="1083"/>
      <c r="Q197" s="1559"/>
      <c r="R197" s="1559"/>
      <c r="S197" s="1083"/>
      <c r="T197" s="1083"/>
      <c r="U197" s="1083"/>
      <c r="V197" s="1083"/>
      <c r="W197" s="1559"/>
      <c r="X197" s="1083"/>
      <c r="Y197" s="1083"/>
      <c r="Z197" s="480"/>
      <c r="AA197" s="1083"/>
      <c r="AB197" s="1083"/>
      <c r="AC197" s="1083"/>
      <c r="AD197" s="1083"/>
      <c r="AE197" s="1083"/>
      <c r="AF197" s="1555"/>
      <c r="AG197" s="502"/>
      <c r="AH197" s="502"/>
      <c r="AI197" s="502"/>
      <c r="AJ197" s="502"/>
      <c r="AK197" s="1564">
        <v>11</v>
      </c>
    </row>
    <row r="198" spans="1:37" s="1564" customFormat="1" ht="11.45" customHeight="1">
      <c r="A198" s="914"/>
      <c r="B198" s="1559"/>
      <c r="C198" s="1559"/>
      <c r="D198" s="287"/>
      <c r="P198" s="1083"/>
      <c r="Q198" s="1559"/>
      <c r="R198" s="1559"/>
      <c r="S198" s="1083"/>
      <c r="T198" s="1083"/>
      <c r="U198" s="1083"/>
      <c r="V198" s="1083"/>
      <c r="W198" s="1559"/>
      <c r="X198" s="1083"/>
      <c r="Y198" s="1083"/>
      <c r="Z198" s="480"/>
      <c r="AA198" s="1083"/>
      <c r="AB198" s="1083"/>
      <c r="AC198" s="1083"/>
      <c r="AD198" s="1083"/>
      <c r="AE198" s="1083"/>
      <c r="AF198" s="1555"/>
      <c r="AG198" s="502"/>
      <c r="AH198" s="502"/>
      <c r="AI198" s="502"/>
      <c r="AJ198" s="502"/>
      <c r="AK198" s="1564">
        <v>11</v>
      </c>
    </row>
    <row r="199" spans="1:37" s="1564" customFormat="1" ht="11.45" customHeight="1">
      <c r="A199" s="914"/>
      <c r="B199" s="1559"/>
      <c r="C199" s="1559"/>
      <c r="D199" s="287"/>
      <c r="P199" s="1083"/>
      <c r="Q199" s="1559"/>
      <c r="R199" s="1559"/>
      <c r="S199" s="1083"/>
      <c r="T199" s="1083"/>
      <c r="U199" s="1083"/>
      <c r="V199" s="1083"/>
      <c r="W199" s="1559"/>
      <c r="X199" s="1083"/>
      <c r="Y199" s="1083"/>
      <c r="Z199" s="480"/>
      <c r="AA199" s="1083"/>
      <c r="AB199" s="1083"/>
      <c r="AC199" s="1083"/>
      <c r="AD199" s="1083"/>
      <c r="AE199" s="1083"/>
      <c r="AF199" s="1555"/>
      <c r="AG199" s="502"/>
      <c r="AH199" s="502"/>
      <c r="AI199" s="502"/>
      <c r="AJ199" s="502"/>
      <c r="AK199" s="1564">
        <v>11</v>
      </c>
    </row>
    <row r="200" spans="1:37" s="1564" customFormat="1" ht="11.45" customHeight="1">
      <c r="A200" s="914"/>
      <c r="B200" s="1559"/>
      <c r="C200" s="1559"/>
      <c r="D200" s="287"/>
      <c r="P200" s="1083"/>
      <c r="Q200" s="1559"/>
      <c r="R200" s="1559"/>
      <c r="S200" s="1083"/>
      <c r="T200" s="1083"/>
      <c r="U200" s="1083"/>
      <c r="V200" s="1083"/>
      <c r="W200" s="1559"/>
      <c r="X200" s="1083"/>
      <c r="Y200" s="1083"/>
      <c r="Z200" s="480"/>
      <c r="AA200" s="1083"/>
      <c r="AB200" s="1083"/>
      <c r="AC200" s="1083"/>
      <c r="AD200" s="1083"/>
      <c r="AE200" s="1083"/>
      <c r="AF200" s="1555"/>
      <c r="AG200" s="502"/>
      <c r="AH200" s="502"/>
      <c r="AI200" s="502"/>
      <c r="AJ200" s="502"/>
      <c r="AK200" s="1564">
        <v>11</v>
      </c>
    </row>
    <row r="201" spans="1:37" ht="11.45" customHeight="1">
      <c r="AK201" s="1554">
        <v>11</v>
      </c>
    </row>
    <row r="202" spans="1:37" ht="11.45" customHeight="1">
      <c r="AK202" s="1554">
        <v>11</v>
      </c>
    </row>
    <row r="203" spans="1:37" ht="11.45" customHeight="1">
      <c r="AK203" s="1554">
        <v>11</v>
      </c>
    </row>
    <row r="204" spans="1:37" ht="11.45" customHeight="1">
      <c r="A204" s="917"/>
      <c r="B204" s="1554"/>
      <c r="D204" s="1554"/>
      <c r="P204" s="1554"/>
      <c r="S204" s="1554"/>
      <c r="T204" s="1554"/>
      <c r="U204" s="1554"/>
      <c r="V204" s="1554"/>
      <c r="X204" s="1554"/>
      <c r="Y204" s="1554"/>
      <c r="Z204" s="1554"/>
      <c r="AA204" s="1554"/>
      <c r="AB204" s="1554"/>
      <c r="AC204" s="1554"/>
      <c r="AD204" s="1554"/>
      <c r="AE204" s="1554"/>
      <c r="AF204" s="1554"/>
      <c r="AG204" s="1554"/>
      <c r="AH204" s="1554"/>
      <c r="AI204" s="1554"/>
      <c r="AJ204" s="1554"/>
      <c r="AK204" s="1554">
        <v>11</v>
      </c>
    </row>
    <row r="205" spans="1:37" ht="11.45" customHeight="1">
      <c r="A205" s="917"/>
      <c r="B205" s="1554"/>
      <c r="D205" s="1554"/>
      <c r="P205" s="1554"/>
      <c r="S205" s="1554"/>
      <c r="T205" s="1554"/>
      <c r="U205" s="1554"/>
      <c r="V205" s="1554"/>
      <c r="X205" s="1554"/>
      <c r="Y205" s="1554"/>
      <c r="Z205" s="1554"/>
      <c r="AA205" s="1554"/>
      <c r="AB205" s="1554"/>
      <c r="AC205" s="1554"/>
      <c r="AD205" s="1554"/>
      <c r="AE205" s="1554"/>
      <c r="AF205" s="1554"/>
      <c r="AG205" s="1554"/>
      <c r="AH205" s="1554"/>
      <c r="AI205" s="1554"/>
      <c r="AJ205" s="1554"/>
      <c r="AK205" s="1554">
        <v>11</v>
      </c>
    </row>
    <row r="206" spans="1:37" ht="11.45" customHeight="1">
      <c r="A206" s="917"/>
      <c r="B206" s="1554"/>
      <c r="D206" s="1554"/>
      <c r="P206" s="1554"/>
      <c r="S206" s="1554"/>
      <c r="T206" s="1554"/>
      <c r="U206" s="1554"/>
      <c r="V206" s="1554"/>
      <c r="X206" s="1554"/>
      <c r="Y206" s="1554"/>
      <c r="Z206" s="1554"/>
      <c r="AA206" s="1554"/>
      <c r="AB206" s="1554"/>
      <c r="AC206" s="1554"/>
      <c r="AD206" s="1554"/>
      <c r="AE206" s="1554"/>
      <c r="AF206" s="1554"/>
      <c r="AG206" s="1554"/>
      <c r="AH206" s="1554"/>
      <c r="AI206" s="1554"/>
      <c r="AJ206" s="1554"/>
      <c r="AK206" s="1554">
        <v>11</v>
      </c>
    </row>
    <row r="207" spans="1:37" ht="11.45" customHeight="1">
      <c r="A207" s="917"/>
      <c r="B207" s="1554"/>
      <c r="D207" s="1554"/>
      <c r="P207" s="1554"/>
      <c r="S207" s="1554"/>
      <c r="T207" s="1554"/>
      <c r="U207" s="1554"/>
      <c r="V207" s="1554"/>
      <c r="X207" s="1554"/>
      <c r="Y207" s="1554"/>
      <c r="Z207" s="1554"/>
      <c r="AA207" s="1554"/>
      <c r="AB207" s="1554"/>
      <c r="AC207" s="1554"/>
      <c r="AD207" s="1554"/>
      <c r="AE207" s="1554"/>
      <c r="AF207" s="1554"/>
      <c r="AG207" s="1554"/>
      <c r="AH207" s="1554"/>
      <c r="AI207" s="1554"/>
      <c r="AJ207" s="1554"/>
      <c r="AK207" s="1554">
        <v>11</v>
      </c>
    </row>
    <row r="208" spans="1:37" ht="11.45" customHeight="1">
      <c r="A208" s="917"/>
      <c r="B208" s="1554"/>
      <c r="D208" s="1554"/>
      <c r="P208" s="1554"/>
      <c r="S208" s="1554"/>
      <c r="T208" s="1554"/>
      <c r="U208" s="1554"/>
      <c r="V208" s="1554"/>
      <c r="X208" s="1554"/>
      <c r="Y208" s="1554"/>
      <c r="Z208" s="1554"/>
      <c r="AA208" s="1554"/>
      <c r="AB208" s="1554"/>
      <c r="AC208" s="1554"/>
      <c r="AD208" s="1554"/>
      <c r="AE208" s="1554"/>
      <c r="AF208" s="1554"/>
      <c r="AG208" s="1554"/>
      <c r="AH208" s="1554"/>
      <c r="AI208" s="1554"/>
      <c r="AJ208" s="1554"/>
      <c r="AK208" s="1554">
        <v>11</v>
      </c>
    </row>
    <row r="209" spans="1:37" ht="11.45" customHeight="1">
      <c r="A209" s="917"/>
      <c r="B209" s="1554"/>
      <c r="D209" s="1554"/>
      <c r="P209" s="1554"/>
      <c r="S209" s="1554"/>
      <c r="T209" s="1554"/>
      <c r="U209" s="1554"/>
      <c r="V209" s="1554"/>
      <c r="X209" s="1554"/>
      <c r="Y209" s="1554"/>
      <c r="Z209" s="1554"/>
      <c r="AA209" s="1554"/>
      <c r="AB209" s="1554"/>
      <c r="AC209" s="1554"/>
      <c r="AD209" s="1554"/>
      <c r="AE209" s="1554"/>
      <c r="AF209" s="1554"/>
      <c r="AG209" s="1554"/>
      <c r="AH209" s="1554"/>
      <c r="AI209" s="1554"/>
      <c r="AJ209" s="1554"/>
      <c r="AK209" s="1554">
        <v>11</v>
      </c>
    </row>
    <row r="210" spans="1:37" ht="11.45" customHeight="1">
      <c r="A210" s="917"/>
      <c r="B210" s="1554"/>
      <c r="D210" s="1554"/>
      <c r="P210" s="1554"/>
      <c r="S210" s="1554"/>
      <c r="T210" s="1554"/>
      <c r="U210" s="1554"/>
      <c r="V210" s="1554"/>
      <c r="X210" s="1554"/>
      <c r="Y210" s="1554"/>
      <c r="Z210" s="1554"/>
      <c r="AA210" s="1554"/>
      <c r="AB210" s="1554"/>
      <c r="AC210" s="1554"/>
      <c r="AD210" s="1554"/>
      <c r="AE210" s="1554"/>
      <c r="AF210" s="1554"/>
      <c r="AG210" s="1554"/>
      <c r="AH210" s="1554"/>
      <c r="AI210" s="1554"/>
      <c r="AJ210" s="1554"/>
      <c r="AK210" s="1554">
        <v>11</v>
      </c>
    </row>
    <row r="211" spans="1:37" ht="11.45" customHeight="1">
      <c r="A211" s="917"/>
      <c r="B211" s="1554"/>
      <c r="D211" s="1554"/>
      <c r="P211" s="1554"/>
      <c r="S211" s="1554"/>
      <c r="T211" s="1554"/>
      <c r="U211" s="1554"/>
      <c r="V211" s="1554"/>
      <c r="X211" s="1554"/>
      <c r="Y211" s="1554"/>
      <c r="Z211" s="1554"/>
      <c r="AA211" s="1554"/>
      <c r="AB211" s="1554"/>
      <c r="AC211" s="1554"/>
      <c r="AD211" s="1554"/>
      <c r="AE211" s="1554"/>
      <c r="AF211" s="1554"/>
      <c r="AG211" s="1554"/>
      <c r="AH211" s="1554"/>
      <c r="AI211" s="1554"/>
      <c r="AJ211" s="1554"/>
      <c r="AK211" s="1554">
        <v>11</v>
      </c>
    </row>
    <row r="212" spans="1:37" ht="11.45" customHeight="1">
      <c r="A212" s="917"/>
      <c r="B212" s="1554"/>
      <c r="D212" s="1554"/>
      <c r="P212" s="1554"/>
      <c r="S212" s="1554"/>
      <c r="T212" s="1554"/>
      <c r="U212" s="1554"/>
      <c r="V212" s="1554"/>
      <c r="X212" s="1554"/>
      <c r="Y212" s="1554"/>
      <c r="Z212" s="1554"/>
      <c r="AA212" s="1554"/>
      <c r="AB212" s="1554"/>
      <c r="AC212" s="1554"/>
      <c r="AD212" s="1554"/>
      <c r="AE212" s="1554"/>
      <c r="AF212" s="1554"/>
      <c r="AG212" s="1554"/>
      <c r="AH212" s="1554"/>
      <c r="AI212" s="1554"/>
      <c r="AJ212" s="1554"/>
      <c r="AK212" s="1554">
        <v>11</v>
      </c>
    </row>
    <row r="213" spans="1:37" ht="11.45" customHeight="1">
      <c r="A213" s="917"/>
      <c r="B213" s="1554"/>
      <c r="D213" s="1554"/>
      <c r="P213" s="1554"/>
      <c r="S213" s="1554"/>
      <c r="T213" s="1554"/>
      <c r="U213" s="1554"/>
      <c r="V213" s="1554"/>
      <c r="X213" s="1554"/>
      <c r="Y213" s="1554"/>
      <c r="Z213" s="1554"/>
      <c r="AA213" s="1554"/>
      <c r="AB213" s="1554"/>
      <c r="AC213" s="1554"/>
      <c r="AD213" s="1554"/>
      <c r="AE213" s="1554"/>
      <c r="AF213" s="1554"/>
      <c r="AG213" s="1554"/>
      <c r="AH213" s="1554"/>
      <c r="AI213" s="1554"/>
      <c r="AJ213" s="1554"/>
      <c r="AK213" s="1554">
        <v>11</v>
      </c>
    </row>
    <row r="214" spans="1:37" ht="11.45" customHeight="1">
      <c r="A214" s="917"/>
      <c r="B214" s="1554"/>
      <c r="D214" s="1554"/>
      <c r="P214" s="1554"/>
      <c r="S214" s="1554"/>
      <c r="T214" s="1554"/>
      <c r="U214" s="1554"/>
      <c r="V214" s="1554"/>
      <c r="X214" s="1554"/>
      <c r="Y214" s="1554"/>
      <c r="Z214" s="1554"/>
      <c r="AA214" s="1554"/>
      <c r="AB214" s="1554"/>
      <c r="AC214" s="1554"/>
      <c r="AD214" s="1554"/>
      <c r="AE214" s="1554"/>
      <c r="AF214" s="1554"/>
      <c r="AG214" s="1554"/>
      <c r="AH214" s="1554"/>
      <c r="AI214" s="1554"/>
      <c r="AJ214" s="1554"/>
      <c r="AK214" s="1554">
        <v>11</v>
      </c>
    </row>
    <row r="215" spans="1:37" ht="11.25" hidden="1" customHeight="1">
      <c r="A215" s="914" t="s">
        <v>83</v>
      </c>
      <c r="B215" s="1083">
        <v>0</v>
      </c>
      <c r="C215" s="1559">
        <v>0</v>
      </c>
      <c r="D215" s="1558">
        <v>3</v>
      </c>
      <c r="E215" s="1554">
        <v>7</v>
      </c>
      <c r="F215" s="1554">
        <v>54</v>
      </c>
      <c r="G215" s="1554">
        <v>10</v>
      </c>
      <c r="H215" s="1554">
        <v>0</v>
      </c>
      <c r="I215" s="1554">
        <v>40</v>
      </c>
      <c r="J215" s="1558">
        <v>0</v>
      </c>
      <c r="K215" s="1558">
        <v>0</v>
      </c>
      <c r="L215" s="1558">
        <v>0</v>
      </c>
      <c r="M215" s="1558">
        <v>0</v>
      </c>
      <c r="N215" s="1558">
        <v>0</v>
      </c>
      <c r="O215" s="1554">
        <v>102</v>
      </c>
      <c r="P215" s="1083">
        <v>9</v>
      </c>
      <c r="Q215" s="1559">
        <v>5</v>
      </c>
      <c r="R215" s="1559">
        <v>3</v>
      </c>
      <c r="S215" s="1083">
        <v>3</v>
      </c>
      <c r="T215" s="1083">
        <v>3</v>
      </c>
      <c r="U215" s="1083">
        <v>3</v>
      </c>
      <c r="V215" s="1083">
        <v>3</v>
      </c>
      <c r="W215" s="1559">
        <v>10</v>
      </c>
      <c r="X215" s="1083">
        <v>34</v>
      </c>
      <c r="Y215" s="1083">
        <v>9</v>
      </c>
      <c r="Z215" s="480">
        <v>8</v>
      </c>
      <c r="AA215" s="1083">
        <v>8</v>
      </c>
      <c r="AB215" s="1083">
        <v>8</v>
      </c>
      <c r="AC215" s="1083">
        <v>8</v>
      </c>
      <c r="AD215" s="1083">
        <v>8</v>
      </c>
      <c r="AE215" s="1083">
        <v>8</v>
      </c>
      <c r="AF215" s="1555">
        <v>8</v>
      </c>
      <c r="AG215" s="1555">
        <v>8</v>
      </c>
      <c r="AH215" s="1555">
        <v>8</v>
      </c>
      <c r="AI215" s="1555">
        <v>8</v>
      </c>
      <c r="AJ215" s="1555">
        <v>8</v>
      </c>
      <c r="AK215" s="1554">
        <v>11</v>
      </c>
    </row>
  </sheetData>
  <sheetProtection formatColumns="0" formatRows="0" insertRows="0" deleteColumns="0" deleteRows="0" sort="0" autoFilter="0"/>
  <mergeCells count="9">
    <mergeCell ref="F45:G45"/>
    <mergeCell ref="E6:I6"/>
    <mergeCell ref="E7:I7"/>
    <mergeCell ref="F10:G10"/>
    <mergeCell ref="O10:O14"/>
    <mergeCell ref="F11:G11"/>
    <mergeCell ref="F12:G12"/>
    <mergeCell ref="E13:G13"/>
    <mergeCell ref="F44:G44"/>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N28">
      <formula1>900</formula1>
    </dataValidation>
    <dataValidation type="decimal" allowBlank="1" showErrorMessage="1" errorTitle="Ошибка" error="Допускается ввод только неотрицательных чисел!" sqref="H32:N32 H2:N2 H15:N15 H17:N27 H30:N30 H41:N42 H38:N3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N36">
      <formula1>900</formula1>
    </dataValidation>
    <dataValidation type="decimal" allowBlank="1" showErrorMessage="1" errorTitle="Ошибка" error="Допускается ввод только действительных чисел!" sqref="H31:N31">
      <formula1>-9.99999999999999E+23</formula1>
      <formula2>9.99999999999999E+23</formula2>
    </dataValidation>
    <dataValidation type="decimal" allowBlank="1" showErrorMessage="1" errorTitle="Ошибка" error="Допускается ввод только действительных чисел!" sqref="H33:N35">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H102"/>
  <sheetViews>
    <sheetView showGridLines="0" zoomScale="70" workbookViewId="0">
      <pane xSplit="8" ySplit="11" topLeftCell="I12" activePane="bottomRight" state="frozen"/>
      <selection pane="topRight" activeCell="I1" sqref="I1"/>
      <selection pane="bottomLeft" activeCell="A12" sqref="A12"/>
      <selection pane="bottomRight" activeCell="O15" sqref="O15"/>
    </sheetView>
  </sheetViews>
  <sheetFormatPr defaultColWidth="10.5703125" defaultRowHeight="11.25" customHeight="1"/>
  <cols>
    <col min="1" max="1" width="9.140625" style="1089" hidden="1" customWidth="1"/>
    <col min="2" max="2" width="3.5703125" style="1565" hidden="1" customWidth="1"/>
    <col min="3" max="3" width="3" style="1558" customWidth="1"/>
    <col min="4" max="4" width="7" style="1558" customWidth="1"/>
    <col min="5" max="5" width="69" style="1558" customWidth="1"/>
    <col min="6" max="6" width="10" style="1558" customWidth="1"/>
    <col min="7" max="8" width="44" style="1558" hidden="1" customWidth="1"/>
    <col min="9" max="9" width="18.140625" style="1558" customWidth="1"/>
    <col min="10" max="10" width="8.5703125" style="1558" customWidth="1"/>
    <col min="11" max="11" width="15.140625" style="1558" customWidth="1"/>
    <col min="12" max="12" width="6.28515625" style="1558" customWidth="1"/>
    <col min="13" max="13" width="11" style="1558" customWidth="1"/>
    <col min="14" max="14" width="7.28515625" style="1558" customWidth="1"/>
    <col min="15" max="15" width="13.42578125" style="1558" customWidth="1"/>
    <col min="16" max="16" width="8.42578125" style="1558" customWidth="1"/>
    <col min="17" max="17" width="13.42578125" style="1558" customWidth="1"/>
    <col min="18" max="18" width="8.42578125" style="1558" customWidth="1"/>
    <col min="19" max="19" width="15.85546875" style="1558" customWidth="1"/>
    <col min="20" max="20" width="7.28515625" style="1558" customWidth="1"/>
    <col min="21" max="21" width="73" style="1558" customWidth="1"/>
    <col min="22" max="22" width="3" style="1558" customWidth="1"/>
    <col min="23" max="33" width="10" style="1558" customWidth="1"/>
    <col min="34" max="34" width="10.5703125" style="1558" hidden="1"/>
  </cols>
  <sheetData>
    <row r="1" spans="1:34" s="1289" customFormat="1" ht="22.5" hidden="1" customHeight="1">
      <c r="A1" s="472"/>
      <c r="B1" s="447"/>
      <c r="G1" s="353">
        <v>4</v>
      </c>
      <c r="I1" s="353">
        <v>4</v>
      </c>
      <c r="K1" s="1289">
        <v>4</v>
      </c>
      <c r="M1" s="1289">
        <v>4</v>
      </c>
      <c r="O1" s="1289">
        <v>4</v>
      </c>
      <c r="Q1" s="1289" t="s">
        <v>91</v>
      </c>
      <c r="S1" s="1289">
        <v>4</v>
      </c>
      <c r="U1" s="353">
        <v>5</v>
      </c>
      <c r="AH1" s="353" t="s">
        <v>14</v>
      </c>
    </row>
    <row r="2" spans="1:34" ht="3" customHeight="1">
      <c r="AH2" s="441">
        <v>3</v>
      </c>
    </row>
    <row r="3" spans="1:34" ht="78.75" customHeight="1">
      <c r="D3" s="238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383"/>
      <c r="F3" s="2384"/>
      <c r="AH3" s="441">
        <v>75</v>
      </c>
    </row>
    <row r="4" spans="1:34" s="1558" customFormat="1" ht="21" customHeight="1">
      <c r="A4" s="879"/>
      <c r="B4" s="447"/>
      <c r="D4" s="2471" t="str">
        <f>IF(org=0,"Не определено",org)</f>
        <v>ПАО "ТГК-2"</v>
      </c>
      <c r="E4" s="2472"/>
      <c r="F4" s="2473"/>
      <c r="AH4" s="691">
        <v>20</v>
      </c>
    </row>
    <row r="5" spans="1:34" ht="11.45" customHeight="1">
      <c r="C5" s="445"/>
      <c r="D5" s="524"/>
      <c r="E5" s="524"/>
      <c r="F5" s="524"/>
      <c r="G5" s="524"/>
      <c r="H5" s="687"/>
      <c r="I5" s="524"/>
      <c r="J5" s="687"/>
      <c r="L5" s="687"/>
      <c r="N5" s="687"/>
      <c r="P5" s="687"/>
      <c r="R5" s="687"/>
      <c r="T5" s="687"/>
      <c r="U5" s="524"/>
      <c r="AH5" s="441">
        <v>11</v>
      </c>
    </row>
    <row r="6" spans="1:34" ht="1.1499999999999999" customHeight="1">
      <c r="C6" s="445"/>
      <c r="D6" s="445"/>
      <c r="E6" s="458"/>
      <c r="F6" s="550"/>
      <c r="G6" s="949"/>
      <c r="H6" s="949"/>
      <c r="I6" s="949" t="s">
        <v>129</v>
      </c>
      <c r="J6" s="949"/>
      <c r="K6" s="949" t="s">
        <v>135</v>
      </c>
      <c r="L6" s="949"/>
      <c r="M6" s="949" t="s">
        <v>137</v>
      </c>
      <c r="N6" s="949"/>
      <c r="O6" s="949" t="s">
        <v>140</v>
      </c>
      <c r="P6" s="949"/>
      <c r="Q6" s="949" t="s">
        <v>139</v>
      </c>
      <c r="R6" s="949"/>
      <c r="S6" s="949" t="s">
        <v>133</v>
      </c>
      <c r="T6" s="949"/>
      <c r="AH6" s="441">
        <v>1</v>
      </c>
    </row>
    <row r="7" spans="1:34" ht="75" customHeight="1">
      <c r="D7" s="647"/>
      <c r="E7" s="2591" t="s">
        <v>119</v>
      </c>
      <c r="F7" s="2592"/>
      <c r="G7" s="2629" t="str">
        <f>IF(G6="","",INDEX(DIFFERENTIATION_UNMERGE_VD,MATCH(G6,DIFFERENTIATION_ID_DIFF,0)))</f>
        <v/>
      </c>
      <c r="H7" s="2630"/>
      <c r="I7" s="2629" t="str">
        <f>IF(I6="","",INDEX(DIFFERENTIATION_UNMERGE_VD,MATCH(I6,DIFFERENTIATION_ID_DIFF,0)))</f>
        <v>Производство тепловой энергии. Комбинированная выработка с уст. мощностью производства электрической энергии 25 МВт и более</v>
      </c>
      <c r="J7" s="2630"/>
      <c r="K7" s="2629" t="str">
        <f>IF(K6="","",INDEX(DIFFERENTIATION_UNMERGE_VD,MATCH(K6,DIFFERENTIATION_ID_DIFF,0)))</f>
        <v>Производство тепловой энергии. Некомбинированная выработка</v>
      </c>
      <c r="L7" s="2630"/>
      <c r="M7" s="2629" t="str">
        <f>IF(M6="","",INDEX(DIFFERENTIATION_UNMERGE_VD,MATCH(M6,DIFFERENTIATION_ID_DIFF,0)))</f>
        <v>Передача. Тепловая энергия; Сбыт. Тепловая энергия</v>
      </c>
      <c r="N7" s="2630"/>
      <c r="O7" s="2629" t="str">
        <f>IF(O6="","",INDEX(DIFFERENTIATION_UNMERGE_VD,MATCH(O6,DIFFERENTIATION_ID_DIFF,0)))</f>
        <v>Производство. Теплоноситель; Сбыт. Теплоноситель</v>
      </c>
      <c r="P7" s="2630"/>
      <c r="Q7" s="2629" t="str">
        <f>IF(Q6="","",INDEX(DIFFERENTIATION_UNMERGE_VD,MATCH(Q6,DIFFERENTIATION_ID_DIFF,0)))</f>
        <v>Передача. Тепловая энергия; Сбыт. Тепловая энергия</v>
      </c>
      <c r="R7" s="2630"/>
      <c r="S7" s="2629" t="str">
        <f>IF(S6="","",INDEX(DIFFERENTIATION_UNMERGE_VD,MATCH(S6,DIFFERENTIATION_ID_DIFF,0)))</f>
        <v>Производство тепловой энергии. Комбинированная выработка с уст. мощностью производства электрической энергии 25 МВт и более</v>
      </c>
      <c r="T7" s="2630"/>
      <c r="U7" s="2435"/>
      <c r="V7" s="445"/>
      <c r="AH7" s="441">
        <v>11</v>
      </c>
    </row>
    <row r="8" spans="1:34" ht="11.45" customHeight="1">
      <c r="A8" s="640"/>
      <c r="D8" s="647"/>
      <c r="E8" s="2591" t="s">
        <v>581</v>
      </c>
      <c r="F8" s="2592"/>
      <c r="G8" s="2629" t="str">
        <f>IF(G6="","",INDEX(DIFFERENTIATION_UNMERGE_AREA,MATCH(G6,DIFFERENTIATION_ID_DIFF,0)))</f>
        <v/>
      </c>
      <c r="H8" s="2630"/>
      <c r="I8" s="2629" t="str">
        <f>IF(I6="","",INDEX(DIFFERENTIATION_UNMERGE_AREA,MATCH(I6,DIFFERENTIATION_ID_DIFF,0)))</f>
        <v>Территория 1</v>
      </c>
      <c r="J8" s="2630"/>
      <c r="K8" s="2629" t="str">
        <f>IF(K6="","",INDEX(DIFFERENTIATION_UNMERGE_AREA,MATCH(K6,DIFFERENTIATION_ID_DIFF,0)))</f>
        <v>Территория 1</v>
      </c>
      <c r="L8" s="2630"/>
      <c r="M8" s="2629" t="str">
        <f>IF(M6="","",INDEX(DIFFERENTIATION_UNMERGE_AREA,MATCH(M6,DIFFERENTIATION_ID_DIFF,0)))</f>
        <v>Территория 1</v>
      </c>
      <c r="N8" s="2630"/>
      <c r="O8" s="2629" t="str">
        <f>IF(O6="","",INDEX(DIFFERENTIATION_UNMERGE_AREA,MATCH(O6,DIFFERENTIATION_ID_DIFF,0)))</f>
        <v>Территория 2</v>
      </c>
      <c r="P8" s="2630"/>
      <c r="Q8" s="2629" t="str">
        <f>IF(Q6="","",INDEX(DIFFERENTIATION_UNMERGE_AREA,MATCH(Q6,DIFFERENTIATION_ID_DIFF,0)))</f>
        <v>Территория 2</v>
      </c>
      <c r="R8" s="2630"/>
      <c r="S8" s="2629" t="str">
        <f>IF(S6="","",INDEX(DIFFERENTIATION_UNMERGE_AREA,MATCH(S6,DIFFERENTIATION_ID_DIFF,0)))</f>
        <v>Территория 2</v>
      </c>
      <c r="T8" s="2630"/>
      <c r="U8" s="2456"/>
      <c r="V8" s="445"/>
      <c r="AH8" s="441">
        <v>11</v>
      </c>
    </row>
    <row r="9" spans="1:34" ht="11.45" customHeight="1">
      <c r="A9" s="640"/>
      <c r="D9" s="647"/>
      <c r="E9" s="2591" t="s">
        <v>582</v>
      </c>
      <c r="F9" s="2592"/>
      <c r="G9" s="2629" t="str">
        <f>IF(G6="","",INDEX(DIFFERENTIATION_UNMERGE_SYSTEM,MATCH(G6,DIFFERENTIATION_ID_DIFF,0)))</f>
        <v/>
      </c>
      <c r="H9" s="2630"/>
      <c r="I9" s="2629" t="str">
        <f>IF(I6="","",INDEX(DIFFERENTIATION_UNMERGE_SYSTEM,MATCH(I6,DIFFERENTIATION_ID_DIFF,0)))</f>
        <v>без дифференциации</v>
      </c>
      <c r="J9" s="2630"/>
      <c r="K9" s="2629" t="str">
        <f>IF(K6="","",INDEX(DIFFERENTIATION_UNMERGE_SYSTEM,MATCH(K6,DIFFERENTIATION_ID_DIFF,0)))</f>
        <v>без дифференциации</v>
      </c>
      <c r="L9" s="2630"/>
      <c r="M9" s="2629" t="str">
        <f>IF(M6="","",INDEX(DIFFERENTIATION_UNMERGE_SYSTEM,MATCH(M6,DIFFERENTIATION_ID_DIFF,0)))</f>
        <v>без дифференциации</v>
      </c>
      <c r="N9" s="2630"/>
      <c r="O9" s="2629" t="str">
        <f>IF(O6="","",INDEX(DIFFERENTIATION_UNMERGE_SYSTEM,MATCH(O6,DIFFERENTIATION_ID_DIFF,0)))</f>
        <v>без дифференциации</v>
      </c>
      <c r="P9" s="2630"/>
      <c r="Q9" s="2629" t="str">
        <f>IF(Q6="","",INDEX(DIFFERENTIATION_UNMERGE_SYSTEM,MATCH(Q6,DIFFERENTIATION_ID_DIFF,0)))</f>
        <v>без дифференциации</v>
      </c>
      <c r="R9" s="2630"/>
      <c r="S9" s="2629" t="str">
        <f>IF(S6="","",INDEX(DIFFERENTIATION_UNMERGE_SYSTEM,MATCH(S6,DIFFERENTIATION_ID_DIFF,0)))</f>
        <v>без дифференциации</v>
      </c>
      <c r="T9" s="2630"/>
      <c r="U9" s="2456"/>
      <c r="V9" s="445"/>
      <c r="AH9" s="441">
        <v>11</v>
      </c>
    </row>
    <row r="10" spans="1:34" s="1558" customFormat="1" ht="11.45" customHeight="1">
      <c r="A10" s="948"/>
      <c r="B10" s="447"/>
      <c r="D10" s="2350" t="s">
        <v>319</v>
      </c>
      <c r="E10" s="2356"/>
      <c r="F10" s="2356"/>
      <c r="G10" s="2356"/>
      <c r="H10" s="2356"/>
      <c r="I10" s="2356"/>
      <c r="J10" s="2349"/>
      <c r="K10" s="2022"/>
      <c r="L10" s="2022"/>
      <c r="M10" s="2022"/>
      <c r="N10" s="2022"/>
      <c r="O10" s="2022"/>
      <c r="P10" s="2022"/>
      <c r="Q10" s="2022"/>
      <c r="R10" s="2022"/>
      <c r="S10" s="2022"/>
      <c r="T10" s="2022"/>
      <c r="U10" s="2456"/>
      <c r="V10" s="445"/>
      <c r="AH10" s="691">
        <v>11</v>
      </c>
    </row>
    <row r="11" spans="1:34" s="1558" customFormat="1" ht="24.2" customHeight="1">
      <c r="A11" s="2526"/>
      <c r="B11" s="2526"/>
      <c r="C11" s="593"/>
      <c r="D11" s="639" t="s">
        <v>89</v>
      </c>
      <c r="E11" s="641" t="s">
        <v>970</v>
      </c>
      <c r="F11" s="641" t="s">
        <v>583</v>
      </c>
      <c r="G11" s="401" t="s">
        <v>322</v>
      </c>
      <c r="H11" s="401" t="s">
        <v>409</v>
      </c>
      <c r="I11" s="736" t="s">
        <v>322</v>
      </c>
      <c r="J11" s="737" t="s">
        <v>409</v>
      </c>
      <c r="K11" s="2024" t="s">
        <v>322</v>
      </c>
      <c r="L11" s="2024" t="s">
        <v>409</v>
      </c>
      <c r="M11" s="2024" t="s">
        <v>322</v>
      </c>
      <c r="N11" s="2024" t="s">
        <v>409</v>
      </c>
      <c r="O11" s="2024" t="s">
        <v>322</v>
      </c>
      <c r="P11" s="2024" t="s">
        <v>409</v>
      </c>
      <c r="Q11" s="2024" t="s">
        <v>322</v>
      </c>
      <c r="R11" s="2024" t="s">
        <v>409</v>
      </c>
      <c r="S11" s="2024" t="s">
        <v>322</v>
      </c>
      <c r="T11" s="2024" t="s">
        <v>409</v>
      </c>
      <c r="U11" s="2485"/>
      <c r="V11" s="594"/>
      <c r="AH11" s="445">
        <v>23</v>
      </c>
    </row>
    <row r="12" spans="1:34" s="1565" customFormat="1" ht="10.5" customHeight="1">
      <c r="A12" s="880"/>
      <c r="D12" s="952" t="s">
        <v>100</v>
      </c>
      <c r="E12" s="952" t="s">
        <v>103</v>
      </c>
      <c r="F12" s="952" t="s">
        <v>91</v>
      </c>
      <c r="G12" s="953" t="str">
        <f>G1&amp;".1"</f>
        <v>4.1</v>
      </c>
      <c r="H12" s="953" t="str">
        <f>G1&amp;".2"</f>
        <v>4.2</v>
      </c>
      <c r="I12" s="953" t="str">
        <f>I1&amp;".1"</f>
        <v>4.1</v>
      </c>
      <c r="J12" s="953" t="str">
        <f>I1&amp;".2"</f>
        <v>4.2</v>
      </c>
      <c r="K12" s="2028" t="str">
        <f>K1&amp;".1"</f>
        <v>4.1</v>
      </c>
      <c r="L12" s="2028" t="str">
        <f>K1&amp;".2"</f>
        <v>4.2</v>
      </c>
      <c r="M12" s="2028" t="str">
        <f>M1&amp;".1"</f>
        <v>4.1</v>
      </c>
      <c r="N12" s="2028" t="str">
        <f>M1&amp;".2"</f>
        <v>4.2</v>
      </c>
      <c r="O12" s="2028" t="str">
        <f>O1&amp;".1"</f>
        <v>4.1</v>
      </c>
      <c r="P12" s="2028" t="str">
        <f>O1&amp;".2"</f>
        <v>4.2</v>
      </c>
      <c r="Q12" s="2028" t="str">
        <f>Q1&amp;".1"</f>
        <v>3.1</v>
      </c>
      <c r="R12" s="2028" t="str">
        <f>Q1&amp;".2"</f>
        <v>3.2</v>
      </c>
      <c r="S12" s="2028" t="str">
        <f>S1&amp;".1"</f>
        <v>4.1</v>
      </c>
      <c r="T12" s="2028" t="str">
        <f>S1&amp;".2"</f>
        <v>4.2</v>
      </c>
      <c r="U12" s="953"/>
      <c r="AH12" s="447">
        <v>10</v>
      </c>
    </row>
    <row r="13" spans="1:34" ht="22.5" customHeight="1">
      <c r="A13" s="2631" t="s">
        <v>971</v>
      </c>
      <c r="D13" s="881" t="s">
        <v>100</v>
      </c>
      <c r="E13" s="216" t="s">
        <v>972</v>
      </c>
      <c r="F13" s="596" t="s">
        <v>973</v>
      </c>
      <c r="G13" s="493"/>
      <c r="H13" s="597"/>
      <c r="I13" s="493">
        <v>0</v>
      </c>
      <c r="J13" s="597"/>
      <c r="K13" s="493">
        <v>0</v>
      </c>
      <c r="L13" s="598"/>
      <c r="M13" s="493">
        <v>8.1316019999999999E-3</v>
      </c>
      <c r="N13" s="598"/>
      <c r="O13" s="493">
        <v>0</v>
      </c>
      <c r="P13" s="598"/>
      <c r="Q13" s="493">
        <v>4.2982280000000003E-3</v>
      </c>
      <c r="R13" s="598"/>
      <c r="S13" s="493">
        <v>0</v>
      </c>
      <c r="T13" s="598"/>
      <c r="U13" s="226" t="s">
        <v>974</v>
      </c>
      <c r="V13" s="656"/>
      <c r="AH13" s="441">
        <v>0</v>
      </c>
    </row>
    <row r="14" spans="1:34" ht="22.5" customHeight="1">
      <c r="A14" s="2631"/>
      <c r="D14" s="475" t="s">
        <v>103</v>
      </c>
      <c r="E14" s="216" t="s">
        <v>975</v>
      </c>
      <c r="F14" s="596" t="s">
        <v>976</v>
      </c>
      <c r="G14" s="493"/>
      <c r="H14" s="598"/>
      <c r="I14" s="493">
        <v>5</v>
      </c>
      <c r="J14" s="598"/>
      <c r="K14" s="493">
        <v>0</v>
      </c>
      <c r="L14" s="598"/>
      <c r="M14" s="493">
        <v>0</v>
      </c>
      <c r="N14" s="598"/>
      <c r="O14" s="493">
        <v>0</v>
      </c>
      <c r="P14" s="598"/>
      <c r="Q14" s="493">
        <v>0</v>
      </c>
      <c r="R14" s="598"/>
      <c r="S14" s="493">
        <v>18</v>
      </c>
      <c r="T14" s="598"/>
      <c r="U14" s="226" t="s">
        <v>977</v>
      </c>
      <c r="V14" s="656"/>
      <c r="AH14" s="441">
        <v>0</v>
      </c>
    </row>
    <row r="15" spans="1:34" s="1558" customFormat="1" ht="78.75" customHeight="1">
      <c r="A15" s="2631"/>
      <c r="B15" s="447"/>
      <c r="D15" s="881" t="s">
        <v>91</v>
      </c>
      <c r="E15" s="643" t="s">
        <v>978</v>
      </c>
      <c r="F15" s="878" t="s">
        <v>325</v>
      </c>
      <c r="G15" s="878" t="s">
        <v>325</v>
      </c>
      <c r="H15" s="45"/>
      <c r="I15" s="878" t="s">
        <v>325</v>
      </c>
      <c r="J15" s="45"/>
      <c r="K15" s="2024" t="s">
        <v>325</v>
      </c>
      <c r="L15" s="2040"/>
      <c r="M15" s="2024" t="s">
        <v>325</v>
      </c>
      <c r="N15" s="2040"/>
      <c r="O15" s="2024" t="s">
        <v>325</v>
      </c>
      <c r="P15" s="2040"/>
      <c r="Q15" s="2024" t="s">
        <v>325</v>
      </c>
      <c r="R15" s="2040"/>
      <c r="S15" s="2024" t="s">
        <v>325</v>
      </c>
      <c r="T15" s="2040"/>
      <c r="U15" s="226" t="s">
        <v>979</v>
      </c>
      <c r="V15" s="656"/>
      <c r="AH15" s="691">
        <v>0</v>
      </c>
    </row>
    <row r="16" spans="1:34" s="1558" customFormat="1" ht="22.5" customHeight="1">
      <c r="A16" s="2631"/>
      <c r="B16" s="447"/>
      <c r="D16" s="881" t="s">
        <v>343</v>
      </c>
      <c r="E16" s="882" t="s">
        <v>980</v>
      </c>
      <c r="F16" s="878" t="s">
        <v>981</v>
      </c>
      <c r="G16" s="746"/>
      <c r="H16" s="45"/>
      <c r="I16" s="746"/>
      <c r="J16" s="45"/>
      <c r="K16" s="746"/>
      <c r="L16" s="2040"/>
      <c r="M16" s="746"/>
      <c r="N16" s="2040"/>
      <c r="O16" s="746"/>
      <c r="P16" s="2040"/>
      <c r="Q16" s="746"/>
      <c r="R16" s="2040"/>
      <c r="S16" s="746"/>
      <c r="T16" s="2040"/>
      <c r="U16" s="226"/>
      <c r="V16" s="656"/>
      <c r="AH16" s="691">
        <v>0</v>
      </c>
    </row>
    <row r="17" spans="1:34" s="1558" customFormat="1" ht="22.5" customHeight="1">
      <c r="A17" s="2631"/>
      <c r="B17" s="447"/>
      <c r="D17" s="881" t="s">
        <v>351</v>
      </c>
      <c r="E17" s="882" t="s">
        <v>982</v>
      </c>
      <c r="F17" s="878" t="s">
        <v>983</v>
      </c>
      <c r="G17" s="746"/>
      <c r="H17" s="45"/>
      <c r="I17" s="746"/>
      <c r="J17" s="45"/>
      <c r="K17" s="746"/>
      <c r="L17" s="2040"/>
      <c r="M17" s="746"/>
      <c r="N17" s="2040"/>
      <c r="O17" s="746"/>
      <c r="P17" s="2040"/>
      <c r="Q17" s="746"/>
      <c r="R17" s="2040"/>
      <c r="S17" s="746"/>
      <c r="T17" s="2040"/>
      <c r="U17" s="226"/>
      <c r="V17" s="656"/>
      <c r="AH17" s="691">
        <v>0</v>
      </c>
    </row>
    <row r="18" spans="1:34" s="1558" customFormat="1" ht="33.75" customHeight="1">
      <c r="A18" s="2631"/>
      <c r="B18" s="447"/>
      <c r="D18" s="881" t="s">
        <v>353</v>
      </c>
      <c r="E18" s="882" t="s">
        <v>984</v>
      </c>
      <c r="F18" s="878" t="s">
        <v>596</v>
      </c>
      <c r="G18" s="616"/>
      <c r="H18" s="45"/>
      <c r="I18" s="616"/>
      <c r="J18" s="45"/>
      <c r="K18" s="616"/>
      <c r="L18" s="2040"/>
      <c r="M18" s="616"/>
      <c r="N18" s="2040"/>
      <c r="O18" s="616"/>
      <c r="P18" s="2040"/>
      <c r="Q18" s="616"/>
      <c r="R18" s="2040"/>
      <c r="S18" s="616"/>
      <c r="T18" s="2040"/>
      <c r="U18" s="226"/>
      <c r="V18" s="656"/>
      <c r="AH18" s="691">
        <v>0</v>
      </c>
    </row>
    <row r="19" spans="1:34" ht="101.25" customHeight="1">
      <c r="A19" s="2631"/>
      <c r="D19" s="881" t="s">
        <v>92</v>
      </c>
      <c r="E19" s="216" t="s">
        <v>985</v>
      </c>
      <c r="F19" s="596" t="s">
        <v>563</v>
      </c>
      <c r="G19" s="599"/>
      <c r="H19" s="598"/>
      <c r="I19" s="2041" t="s">
        <v>986</v>
      </c>
      <c r="J19" s="598"/>
      <c r="K19" s="2041" t="s">
        <v>986</v>
      </c>
      <c r="L19" s="598"/>
      <c r="M19" s="2041" t="s">
        <v>986</v>
      </c>
      <c r="N19" s="598"/>
      <c r="O19" s="2041" t="s">
        <v>986</v>
      </c>
      <c r="P19" s="598"/>
      <c r="Q19" s="2041" t="s">
        <v>986</v>
      </c>
      <c r="R19" s="598"/>
      <c r="S19" s="2041" t="s">
        <v>986</v>
      </c>
      <c r="T19" s="598"/>
      <c r="U19" s="226" t="s">
        <v>987</v>
      </c>
      <c r="V19" s="656"/>
      <c r="AH19" s="441">
        <v>0</v>
      </c>
    </row>
    <row r="20" spans="1:34" s="1558" customFormat="1" ht="18.75" customHeight="1">
      <c r="A20" s="2631"/>
      <c r="C20" s="883"/>
      <c r="D20" s="881" t="s">
        <v>905</v>
      </c>
      <c r="E20" s="882" t="s">
        <v>988</v>
      </c>
      <c r="F20" s="878" t="s">
        <v>325</v>
      </c>
      <c r="G20" s="878" t="s">
        <v>325</v>
      </c>
      <c r="H20" s="877" t="s">
        <v>325</v>
      </c>
      <c r="I20" s="878" t="s">
        <v>325</v>
      </c>
      <c r="J20" s="877" t="s">
        <v>325</v>
      </c>
      <c r="K20" s="2024" t="s">
        <v>325</v>
      </c>
      <c r="L20" s="2019" t="s">
        <v>325</v>
      </c>
      <c r="M20" s="2024" t="s">
        <v>325</v>
      </c>
      <c r="N20" s="2019" t="s">
        <v>325</v>
      </c>
      <c r="O20" s="2024" t="s">
        <v>325</v>
      </c>
      <c r="P20" s="2019" t="s">
        <v>325</v>
      </c>
      <c r="Q20" s="2024" t="s">
        <v>325</v>
      </c>
      <c r="R20" s="2019" t="s">
        <v>325</v>
      </c>
      <c r="S20" s="2024" t="s">
        <v>325</v>
      </c>
      <c r="T20" s="2019" t="s">
        <v>325</v>
      </c>
      <c r="U20" s="876"/>
      <c r="V20" s="656"/>
      <c r="AG20" s="611"/>
      <c r="AH20" s="691">
        <v>0</v>
      </c>
    </row>
    <row r="21" spans="1:34" s="1558" customFormat="1" ht="33.75" customHeight="1">
      <c r="A21" s="2631"/>
      <c r="C21" s="883"/>
      <c r="D21" s="881" t="s">
        <v>908</v>
      </c>
      <c r="E21" s="512" t="s">
        <v>989</v>
      </c>
      <c r="F21" s="878" t="s">
        <v>990</v>
      </c>
      <c r="G21" s="616"/>
      <c r="H21" s="45"/>
      <c r="I21" s="616"/>
      <c r="J21" s="45"/>
      <c r="K21" s="616"/>
      <c r="L21" s="2040"/>
      <c r="M21" s="616"/>
      <c r="N21" s="2040"/>
      <c r="O21" s="616"/>
      <c r="P21" s="2040"/>
      <c r="Q21" s="616"/>
      <c r="R21" s="2040"/>
      <c r="S21" s="616"/>
      <c r="T21" s="2040"/>
      <c r="U21" s="876"/>
      <c r="V21" s="656"/>
      <c r="AG21" s="611"/>
      <c r="AH21" s="691">
        <v>0</v>
      </c>
    </row>
    <row r="22" spans="1:34" s="1558" customFormat="1" ht="33.75" customHeight="1">
      <c r="A22" s="2631"/>
      <c r="C22" s="883"/>
      <c r="D22" s="881" t="s">
        <v>911</v>
      </c>
      <c r="E22" s="512" t="s">
        <v>991</v>
      </c>
      <c r="F22" s="878" t="s">
        <v>992</v>
      </c>
      <c r="G22" s="616"/>
      <c r="H22" s="45"/>
      <c r="I22" s="616"/>
      <c r="J22" s="45"/>
      <c r="K22" s="616"/>
      <c r="L22" s="2040"/>
      <c r="M22" s="616"/>
      <c r="N22" s="2040"/>
      <c r="O22" s="616"/>
      <c r="P22" s="2040"/>
      <c r="Q22" s="616"/>
      <c r="R22" s="2040"/>
      <c r="S22" s="616"/>
      <c r="T22" s="2040"/>
      <c r="U22" s="876"/>
      <c r="V22" s="656"/>
      <c r="AG22" s="611"/>
      <c r="AH22" s="691">
        <v>0</v>
      </c>
    </row>
    <row r="23" spans="1:34" s="1558" customFormat="1" ht="22.5" customHeight="1">
      <c r="A23" s="2631"/>
      <c r="C23" s="883"/>
      <c r="D23" s="881" t="s">
        <v>949</v>
      </c>
      <c r="E23" s="882" t="s">
        <v>993</v>
      </c>
      <c r="F23" s="878" t="s">
        <v>325</v>
      </c>
      <c r="G23" s="878" t="s">
        <v>325</v>
      </c>
      <c r="H23" s="877" t="s">
        <v>325</v>
      </c>
      <c r="I23" s="878" t="s">
        <v>325</v>
      </c>
      <c r="J23" s="877" t="s">
        <v>325</v>
      </c>
      <c r="K23" s="2024" t="s">
        <v>325</v>
      </c>
      <c r="L23" s="2019" t="s">
        <v>325</v>
      </c>
      <c r="M23" s="2024" t="s">
        <v>325</v>
      </c>
      <c r="N23" s="2019" t="s">
        <v>325</v>
      </c>
      <c r="O23" s="2024" t="s">
        <v>325</v>
      </c>
      <c r="P23" s="2019" t="s">
        <v>325</v>
      </c>
      <c r="Q23" s="2024" t="s">
        <v>325</v>
      </c>
      <c r="R23" s="2019" t="s">
        <v>325</v>
      </c>
      <c r="S23" s="2024" t="s">
        <v>325</v>
      </c>
      <c r="T23" s="2019" t="s">
        <v>325</v>
      </c>
      <c r="U23" s="876"/>
      <c r="V23" s="656"/>
      <c r="AG23" s="611"/>
      <c r="AH23" s="691">
        <v>0</v>
      </c>
    </row>
    <row r="24" spans="1:34" s="1558" customFormat="1" ht="22.5" customHeight="1">
      <c r="A24" s="2631"/>
      <c r="C24" s="883"/>
      <c r="D24" s="881" t="s">
        <v>994</v>
      </c>
      <c r="E24" s="512" t="s">
        <v>995</v>
      </c>
      <c r="F24" s="878" t="s">
        <v>996</v>
      </c>
      <c r="G24" s="616"/>
      <c r="H24" s="622"/>
      <c r="I24" s="616">
        <v>0.13400000000000001</v>
      </c>
      <c r="J24" s="622"/>
      <c r="K24" s="616"/>
      <c r="L24" s="2025"/>
      <c r="M24" s="616"/>
      <c r="N24" s="2025"/>
      <c r="O24" s="616"/>
      <c r="P24" s="2025"/>
      <c r="Q24" s="616"/>
      <c r="R24" s="2025"/>
      <c r="S24" s="616">
        <v>0.14199999999999999</v>
      </c>
      <c r="T24" s="2025"/>
      <c r="U24" s="876"/>
      <c r="V24" s="656"/>
      <c r="AG24" s="611"/>
      <c r="AH24" s="691">
        <v>0</v>
      </c>
    </row>
    <row r="25" spans="1:34" s="1558" customFormat="1" ht="22.5" customHeight="1">
      <c r="A25" s="2631"/>
      <c r="C25" s="883"/>
      <c r="D25" s="881" t="s">
        <v>997</v>
      </c>
      <c r="E25" s="512" t="s">
        <v>998</v>
      </c>
      <c r="F25" s="878" t="s">
        <v>325</v>
      </c>
      <c r="G25" s="878" t="s">
        <v>325</v>
      </c>
      <c r="H25" s="877" t="s">
        <v>325</v>
      </c>
      <c r="I25" s="878" t="s">
        <v>325</v>
      </c>
      <c r="J25" s="877" t="s">
        <v>325</v>
      </c>
      <c r="K25" s="2024" t="s">
        <v>325</v>
      </c>
      <c r="L25" s="2019" t="s">
        <v>325</v>
      </c>
      <c r="M25" s="2024" t="s">
        <v>325</v>
      </c>
      <c r="N25" s="2019" t="s">
        <v>325</v>
      </c>
      <c r="O25" s="2024" t="s">
        <v>325</v>
      </c>
      <c r="P25" s="2019" t="s">
        <v>325</v>
      </c>
      <c r="Q25" s="2024" t="s">
        <v>325</v>
      </c>
      <c r="R25" s="2019" t="s">
        <v>325</v>
      </c>
      <c r="S25" s="2024" t="s">
        <v>325</v>
      </c>
      <c r="T25" s="2019" t="s">
        <v>325</v>
      </c>
      <c r="U25" s="876"/>
      <c r="V25" s="656"/>
      <c r="AG25" s="611"/>
      <c r="AH25" s="691">
        <v>0</v>
      </c>
    </row>
    <row r="26" spans="1:34" s="1558" customFormat="1" ht="18.75" customHeight="1">
      <c r="A26" s="2631"/>
      <c r="C26" s="883"/>
      <c r="D26" s="881" t="s">
        <v>999</v>
      </c>
      <c r="E26" s="489" t="s">
        <v>1000</v>
      </c>
      <c r="F26" s="878" t="s">
        <v>1001</v>
      </c>
      <c r="G26" s="616"/>
      <c r="H26" s="622"/>
      <c r="I26" s="616"/>
      <c r="J26" s="622"/>
      <c r="K26" s="616"/>
      <c r="L26" s="2025"/>
      <c r="M26" s="616">
        <v>3.12</v>
      </c>
      <c r="N26" s="2025"/>
      <c r="O26" s="616"/>
      <c r="P26" s="2025"/>
      <c r="Q26" s="616">
        <v>3.26</v>
      </c>
      <c r="R26" s="2025"/>
      <c r="S26" s="616"/>
      <c r="T26" s="2025"/>
      <c r="U26" s="876"/>
      <c r="V26" s="656"/>
      <c r="AG26" s="611"/>
      <c r="AH26" s="691">
        <v>0</v>
      </c>
    </row>
    <row r="27" spans="1:34" s="1558" customFormat="1" ht="18.75" customHeight="1">
      <c r="A27" s="2631"/>
      <c r="C27" s="883"/>
      <c r="D27" s="881" t="s">
        <v>1002</v>
      </c>
      <c r="E27" s="489" t="s">
        <v>1003</v>
      </c>
      <c r="F27" s="878" t="s">
        <v>1004</v>
      </c>
      <c r="G27" s="616"/>
      <c r="H27" s="622"/>
      <c r="I27" s="616"/>
      <c r="J27" s="622"/>
      <c r="K27" s="616"/>
      <c r="L27" s="2025"/>
      <c r="M27" s="616">
        <v>9.15</v>
      </c>
      <c r="N27" s="2025"/>
      <c r="O27" s="616"/>
      <c r="P27" s="2025"/>
      <c r="Q27" s="616">
        <v>10.42</v>
      </c>
      <c r="R27" s="2025"/>
      <c r="S27" s="616"/>
      <c r="T27" s="2025"/>
      <c r="U27" s="876"/>
      <c r="V27" s="656"/>
      <c r="AG27" s="611"/>
      <c r="AH27" s="691">
        <v>0</v>
      </c>
    </row>
    <row r="28" spans="1:34" s="1558" customFormat="1" ht="18.75" customHeight="1">
      <c r="A28" s="2631"/>
      <c r="C28" s="883"/>
      <c r="D28" s="881" t="s">
        <v>1005</v>
      </c>
      <c r="E28" s="512" t="s">
        <v>1006</v>
      </c>
      <c r="F28" s="878" t="s">
        <v>325</v>
      </c>
      <c r="G28" s="878" t="s">
        <v>325</v>
      </c>
      <c r="H28" s="877" t="s">
        <v>325</v>
      </c>
      <c r="I28" s="878" t="s">
        <v>325</v>
      </c>
      <c r="J28" s="877" t="s">
        <v>325</v>
      </c>
      <c r="K28" s="2024" t="s">
        <v>325</v>
      </c>
      <c r="L28" s="2019" t="s">
        <v>325</v>
      </c>
      <c r="M28" s="2024" t="s">
        <v>325</v>
      </c>
      <c r="N28" s="2019" t="s">
        <v>325</v>
      </c>
      <c r="O28" s="2024" t="s">
        <v>325</v>
      </c>
      <c r="P28" s="2019" t="s">
        <v>325</v>
      </c>
      <c r="Q28" s="2024" t="s">
        <v>325</v>
      </c>
      <c r="R28" s="2019" t="s">
        <v>325</v>
      </c>
      <c r="S28" s="2024" t="s">
        <v>325</v>
      </c>
      <c r="T28" s="2019" t="s">
        <v>325</v>
      </c>
      <c r="U28" s="876"/>
      <c r="V28" s="656"/>
      <c r="AG28" s="611"/>
      <c r="AH28" s="691">
        <v>0</v>
      </c>
    </row>
    <row r="29" spans="1:34" s="1558" customFormat="1" ht="18.75" customHeight="1">
      <c r="A29" s="2631"/>
      <c r="C29" s="883"/>
      <c r="D29" s="881" t="s">
        <v>1007</v>
      </c>
      <c r="E29" s="489" t="s">
        <v>1000</v>
      </c>
      <c r="F29" s="878" t="s">
        <v>1008</v>
      </c>
      <c r="G29" s="616"/>
      <c r="H29" s="622"/>
      <c r="I29" s="616"/>
      <c r="J29" s="622"/>
      <c r="K29" s="616"/>
      <c r="L29" s="2025"/>
      <c r="M29" s="616">
        <v>423847</v>
      </c>
      <c r="N29" s="2025"/>
      <c r="O29" s="616"/>
      <c r="P29" s="2025"/>
      <c r="Q29" s="616">
        <v>396071</v>
      </c>
      <c r="R29" s="2025"/>
      <c r="S29" s="616"/>
      <c r="T29" s="2025"/>
      <c r="U29" s="876"/>
      <c r="V29" s="656"/>
      <c r="AG29" s="611"/>
      <c r="AH29" s="691">
        <v>0</v>
      </c>
    </row>
    <row r="30" spans="1:34" s="1558" customFormat="1" ht="18.75" customHeight="1">
      <c r="A30" s="2631"/>
      <c r="C30" s="883"/>
      <c r="D30" s="881" t="s">
        <v>1009</v>
      </c>
      <c r="E30" s="489" t="s">
        <v>1010</v>
      </c>
      <c r="F30" s="878" t="s">
        <v>1011</v>
      </c>
      <c r="G30" s="616"/>
      <c r="H30" s="622"/>
      <c r="I30" s="616"/>
      <c r="J30" s="622"/>
      <c r="K30" s="616"/>
      <c r="L30" s="2025"/>
      <c r="M30" s="616">
        <v>1246344.3</v>
      </c>
      <c r="N30" s="2025"/>
      <c r="O30" s="616"/>
      <c r="P30" s="2025"/>
      <c r="Q30" s="616">
        <v>1265822</v>
      </c>
      <c r="R30" s="2025"/>
      <c r="S30" s="616"/>
      <c r="T30" s="2025"/>
      <c r="U30" s="876"/>
      <c r="V30" s="656"/>
      <c r="AG30" s="611"/>
      <c r="AH30" s="691">
        <v>0</v>
      </c>
    </row>
    <row r="31" spans="1:34" ht="126.75" customHeight="1">
      <c r="A31" s="2631"/>
      <c r="D31" s="881" t="s">
        <v>123</v>
      </c>
      <c r="E31" s="216" t="s">
        <v>1012</v>
      </c>
      <c r="F31" s="596" t="s">
        <v>575</v>
      </c>
      <c r="G31" s="493"/>
      <c r="H31" s="598"/>
      <c r="I31" s="493">
        <v>0</v>
      </c>
      <c r="J31" s="598"/>
      <c r="K31" s="493">
        <v>0</v>
      </c>
      <c r="L31" s="598"/>
      <c r="M31" s="493">
        <v>100</v>
      </c>
      <c r="N31" s="598"/>
      <c r="O31" s="493">
        <v>0</v>
      </c>
      <c r="P31" s="598"/>
      <c r="Q31" s="493">
        <v>100</v>
      </c>
      <c r="R31" s="598"/>
      <c r="S31" s="493">
        <v>0</v>
      </c>
      <c r="T31" s="598"/>
      <c r="U31" s="226" t="s">
        <v>1013</v>
      </c>
      <c r="V31" s="656"/>
      <c r="AH31" s="441">
        <v>0</v>
      </c>
    </row>
    <row r="32" spans="1:34" ht="56.25" customHeight="1">
      <c r="A32" s="2631"/>
      <c r="D32" s="881" t="s">
        <v>93</v>
      </c>
      <c r="E32" s="216" t="s">
        <v>1014</v>
      </c>
      <c r="F32" s="475" t="s">
        <v>983</v>
      </c>
      <c r="G32" s="493"/>
      <c r="H32" s="598"/>
      <c r="I32" s="493">
        <v>0</v>
      </c>
      <c r="J32" s="598"/>
      <c r="K32" s="493">
        <v>0</v>
      </c>
      <c r="L32" s="598"/>
      <c r="M32" s="493">
        <v>20</v>
      </c>
      <c r="N32" s="598"/>
      <c r="O32" s="493">
        <v>0</v>
      </c>
      <c r="P32" s="598"/>
      <c r="Q32" s="493">
        <v>20</v>
      </c>
      <c r="R32" s="598"/>
      <c r="S32" s="493">
        <v>0</v>
      </c>
      <c r="T32" s="598"/>
      <c r="U32" s="226" t="s">
        <v>1015</v>
      </c>
      <c r="V32" s="656"/>
      <c r="AH32" s="441">
        <v>0</v>
      </c>
    </row>
    <row r="33" spans="1:34" ht="11.25" customHeight="1">
      <c r="A33" s="2631"/>
      <c r="E33" s="600"/>
      <c r="F33" s="118"/>
      <c r="G33" s="118"/>
      <c r="H33" s="118"/>
      <c r="I33" s="118"/>
      <c r="J33" s="118"/>
      <c r="K33" s="991"/>
      <c r="L33" s="991"/>
      <c r="M33" s="991"/>
      <c r="N33" s="991"/>
      <c r="O33" s="991"/>
      <c r="P33" s="991"/>
      <c r="Q33" s="991"/>
      <c r="R33" s="991"/>
      <c r="S33" s="991"/>
      <c r="T33" s="991"/>
      <c r="U33" s="118"/>
      <c r="AH33" s="441">
        <v>0</v>
      </c>
    </row>
    <row r="34" spans="1:34" ht="12.75" customHeight="1">
      <c r="A34" s="2631"/>
      <c r="D34" s="4">
        <v>1</v>
      </c>
      <c r="E34" s="272" t="s">
        <v>1016</v>
      </c>
      <c r="AH34" s="441">
        <v>0</v>
      </c>
    </row>
    <row r="35" spans="1:34" ht="11.25" customHeight="1">
      <c r="A35" s="2631"/>
      <c r="D35" s="305"/>
      <c r="E35" s="272" t="s">
        <v>1017</v>
      </c>
      <c r="AH35" s="441">
        <v>0</v>
      </c>
    </row>
    <row r="36" spans="1:34" s="1558" customFormat="1" ht="11.45" customHeight="1">
      <c r="A36" s="960"/>
      <c r="B36" s="454"/>
      <c r="D36" s="961"/>
      <c r="E36" s="962"/>
      <c r="AH36" s="445">
        <v>11</v>
      </c>
    </row>
    <row r="37" spans="1:34" s="1558" customFormat="1" ht="22.5" hidden="1" customHeight="1">
      <c r="A37" s="2631" t="s">
        <v>1018</v>
      </c>
      <c r="B37" s="447"/>
      <c r="D37" s="881">
        <v>1</v>
      </c>
      <c r="E37" s="643" t="s">
        <v>1019</v>
      </c>
      <c r="F37" s="596" t="s">
        <v>973</v>
      </c>
      <c r="G37" s="493"/>
      <c r="H37" s="455"/>
      <c r="I37" s="493"/>
      <c r="J37" s="455"/>
      <c r="K37" s="493"/>
      <c r="L37" s="455"/>
      <c r="M37" s="493"/>
      <c r="N37" s="455"/>
      <c r="O37" s="493"/>
      <c r="P37" s="455"/>
      <c r="Q37" s="493"/>
      <c r="R37" s="455"/>
      <c r="S37" s="493"/>
      <c r="T37" s="455"/>
      <c r="U37" s="226" t="s">
        <v>1020</v>
      </c>
      <c r="AH37" s="691">
        <v>0</v>
      </c>
    </row>
    <row r="38" spans="1:34" s="1558" customFormat="1" ht="22.5" hidden="1" customHeight="1">
      <c r="A38" s="2631"/>
      <c r="B38" s="447"/>
      <c r="D38" s="605" t="s">
        <v>103</v>
      </c>
      <c r="E38" s="959" t="s">
        <v>1021</v>
      </c>
      <c r="F38" s="963" t="s">
        <v>563</v>
      </c>
      <c r="G38" s="963" t="s">
        <v>563</v>
      </c>
      <c r="H38" s="957"/>
      <c r="I38" s="963" t="s">
        <v>563</v>
      </c>
      <c r="J38" s="957"/>
      <c r="K38" s="963" t="s">
        <v>563</v>
      </c>
      <c r="L38" s="957"/>
      <c r="M38" s="963" t="s">
        <v>563</v>
      </c>
      <c r="N38" s="957"/>
      <c r="O38" s="963" t="s">
        <v>563</v>
      </c>
      <c r="P38" s="957"/>
      <c r="Q38" s="963" t="s">
        <v>563</v>
      </c>
      <c r="R38" s="957"/>
      <c r="S38" s="963" t="s">
        <v>563</v>
      </c>
      <c r="T38" s="957"/>
      <c r="U38" s="958"/>
      <c r="AH38" s="691">
        <v>0</v>
      </c>
    </row>
    <row r="39" spans="1:34" s="1558" customFormat="1" ht="33.75" hidden="1" customHeight="1">
      <c r="A39" s="2631"/>
      <c r="B39" s="447"/>
      <c r="D39" s="601" t="s">
        <v>857</v>
      </c>
      <c r="E39" s="659" t="s">
        <v>1022</v>
      </c>
      <c r="F39" s="596" t="s">
        <v>1023</v>
      </c>
      <c r="G39" s="604"/>
      <c r="H39" s="950"/>
      <c r="I39" s="604"/>
      <c r="J39" s="950"/>
      <c r="K39" s="1092"/>
      <c r="L39" s="950"/>
      <c r="M39" s="1092"/>
      <c r="N39" s="950"/>
      <c r="O39" s="1092"/>
      <c r="P39" s="950"/>
      <c r="Q39" s="1092"/>
      <c r="R39" s="950"/>
      <c r="S39" s="1092"/>
      <c r="T39" s="950"/>
      <c r="U39" s="226" t="s">
        <v>1024</v>
      </c>
      <c r="AH39" s="691">
        <v>0</v>
      </c>
    </row>
    <row r="40" spans="1:34" s="1558" customFormat="1" ht="33.75" hidden="1" customHeight="1">
      <c r="A40" s="2631"/>
      <c r="B40" s="447"/>
      <c r="D40" s="601" t="s">
        <v>860</v>
      </c>
      <c r="E40" s="659" t="s">
        <v>1025</v>
      </c>
      <c r="F40" s="954" t="s">
        <v>1026</v>
      </c>
      <c r="G40" s="676"/>
      <c r="H40" s="950"/>
      <c r="I40" s="676"/>
      <c r="J40" s="950"/>
      <c r="K40" s="676"/>
      <c r="L40" s="950"/>
      <c r="M40" s="676"/>
      <c r="N40" s="950"/>
      <c r="O40" s="676"/>
      <c r="P40" s="950"/>
      <c r="Q40" s="676"/>
      <c r="R40" s="950"/>
      <c r="S40" s="676"/>
      <c r="T40" s="950"/>
      <c r="U40" s="226" t="s">
        <v>1027</v>
      </c>
      <c r="AH40" s="691">
        <v>0</v>
      </c>
    </row>
    <row r="41" spans="1:34" s="1558" customFormat="1" ht="22.5" hidden="1" customHeight="1">
      <c r="A41" s="2631"/>
      <c r="B41" s="447"/>
      <c r="D41" s="601" t="s">
        <v>91</v>
      </c>
      <c r="E41" s="658" t="s">
        <v>1028</v>
      </c>
      <c r="F41" s="596" t="s">
        <v>563</v>
      </c>
      <c r="G41" s="596" t="s">
        <v>563</v>
      </c>
      <c r="H41" s="951"/>
      <c r="I41" s="596" t="s">
        <v>563</v>
      </c>
      <c r="J41" s="951"/>
      <c r="K41" s="2013" t="s">
        <v>563</v>
      </c>
      <c r="L41" s="951"/>
      <c r="M41" s="2013" t="s">
        <v>563</v>
      </c>
      <c r="N41" s="951"/>
      <c r="O41" s="2013" t="s">
        <v>563</v>
      </c>
      <c r="P41" s="951"/>
      <c r="Q41" s="2013" t="s">
        <v>563</v>
      </c>
      <c r="R41" s="951"/>
      <c r="S41" s="2013" t="s">
        <v>563</v>
      </c>
      <c r="T41" s="951"/>
      <c r="U41" s="239"/>
      <c r="AH41" s="691">
        <v>0</v>
      </c>
    </row>
    <row r="42" spans="1:34" s="1558" customFormat="1" ht="45" hidden="1" customHeight="1">
      <c r="A42" s="2631"/>
      <c r="B42" s="447"/>
      <c r="D42" s="601" t="s">
        <v>343</v>
      </c>
      <c r="E42" s="659" t="s">
        <v>1029</v>
      </c>
      <c r="F42" s="596" t="s">
        <v>575</v>
      </c>
      <c r="G42" s="493"/>
      <c r="H42" s="951"/>
      <c r="I42" s="493"/>
      <c r="J42" s="951"/>
      <c r="K42" s="493"/>
      <c r="L42" s="951"/>
      <c r="M42" s="493"/>
      <c r="N42" s="951"/>
      <c r="O42" s="493"/>
      <c r="P42" s="951"/>
      <c r="Q42" s="493"/>
      <c r="R42" s="951"/>
      <c r="S42" s="493"/>
      <c r="T42" s="951"/>
      <c r="U42" s="239" t="s">
        <v>1030</v>
      </c>
      <c r="AH42" s="691">
        <v>0</v>
      </c>
    </row>
    <row r="43" spans="1:34" s="1558" customFormat="1" ht="45" hidden="1" customHeight="1">
      <c r="A43" s="2631"/>
      <c r="B43" s="447"/>
      <c r="D43" s="601" t="s">
        <v>351</v>
      </c>
      <c r="E43" s="603" t="s">
        <v>1031</v>
      </c>
      <c r="F43" s="955" t="s">
        <v>575</v>
      </c>
      <c r="G43" s="677"/>
      <c r="H43" s="950"/>
      <c r="I43" s="677"/>
      <c r="J43" s="950"/>
      <c r="K43" s="677"/>
      <c r="L43" s="950"/>
      <c r="M43" s="677"/>
      <c r="N43" s="950"/>
      <c r="O43" s="677"/>
      <c r="P43" s="950"/>
      <c r="Q43" s="677"/>
      <c r="R43" s="950"/>
      <c r="S43" s="677"/>
      <c r="T43" s="950"/>
      <c r="U43" s="239" t="s">
        <v>1032</v>
      </c>
      <c r="AH43" s="691">
        <v>0</v>
      </c>
    </row>
    <row r="44" spans="1:34" s="1558" customFormat="1" ht="11.25" hidden="1" customHeight="1">
      <c r="A44" s="2631"/>
      <c r="B44" s="447"/>
      <c r="D44" s="601" t="s">
        <v>92</v>
      </c>
      <c r="E44" s="602" t="s">
        <v>1033</v>
      </c>
      <c r="F44" s="596" t="s">
        <v>1023</v>
      </c>
      <c r="G44" s="604"/>
      <c r="H44" s="950"/>
      <c r="I44" s="604"/>
      <c r="J44" s="950"/>
      <c r="K44" s="1092"/>
      <c r="L44" s="950"/>
      <c r="M44" s="1092"/>
      <c r="N44" s="950"/>
      <c r="O44" s="1092"/>
      <c r="P44" s="950"/>
      <c r="Q44" s="1092"/>
      <c r="R44" s="950"/>
      <c r="S44" s="1092"/>
      <c r="T44" s="950"/>
      <c r="U44" s="226"/>
      <c r="AH44" s="691">
        <v>0</v>
      </c>
    </row>
    <row r="45" spans="1:34" s="1558" customFormat="1" ht="11.25" hidden="1" customHeight="1">
      <c r="A45" s="2631"/>
      <c r="B45" s="447"/>
      <c r="D45" s="601" t="s">
        <v>905</v>
      </c>
      <c r="E45" s="603" t="s">
        <v>1034</v>
      </c>
      <c r="F45" s="596" t="s">
        <v>1023</v>
      </c>
      <c r="G45" s="604"/>
      <c r="H45" s="950"/>
      <c r="I45" s="604"/>
      <c r="J45" s="950"/>
      <c r="K45" s="1092"/>
      <c r="L45" s="950"/>
      <c r="M45" s="1092"/>
      <c r="N45" s="950"/>
      <c r="O45" s="1092"/>
      <c r="P45" s="950"/>
      <c r="Q45" s="1092"/>
      <c r="R45" s="950"/>
      <c r="S45" s="1092"/>
      <c r="T45" s="950"/>
      <c r="U45" s="226"/>
      <c r="AH45" s="691">
        <v>0</v>
      </c>
    </row>
    <row r="46" spans="1:34" s="1558" customFormat="1" ht="11.25" hidden="1" customHeight="1">
      <c r="A46" s="2631"/>
      <c r="B46" s="447"/>
      <c r="D46" s="601" t="s">
        <v>949</v>
      </c>
      <c r="E46" s="603" t="s">
        <v>1035</v>
      </c>
      <c r="F46" s="596" t="s">
        <v>1023</v>
      </c>
      <c r="G46" s="604"/>
      <c r="H46" s="950"/>
      <c r="I46" s="604"/>
      <c r="J46" s="950"/>
      <c r="K46" s="1092"/>
      <c r="L46" s="950"/>
      <c r="M46" s="1092"/>
      <c r="N46" s="950"/>
      <c r="O46" s="1092"/>
      <c r="P46" s="950"/>
      <c r="Q46" s="1092"/>
      <c r="R46" s="950"/>
      <c r="S46" s="1092"/>
      <c r="T46" s="950"/>
      <c r="U46" s="226"/>
      <c r="AH46" s="691">
        <v>0</v>
      </c>
    </row>
    <row r="47" spans="1:34" s="1558" customFormat="1" ht="11.25" hidden="1" customHeight="1">
      <c r="A47" s="2631"/>
      <c r="B47" s="447"/>
      <c r="D47" s="601" t="s">
        <v>952</v>
      </c>
      <c r="E47" s="603" t="s">
        <v>1036</v>
      </c>
      <c r="F47" s="596" t="s">
        <v>1023</v>
      </c>
      <c r="G47" s="604"/>
      <c r="H47" s="950"/>
      <c r="I47" s="604"/>
      <c r="J47" s="950"/>
      <c r="K47" s="1092"/>
      <c r="L47" s="950"/>
      <c r="M47" s="1092"/>
      <c r="N47" s="950"/>
      <c r="O47" s="1092"/>
      <c r="P47" s="950"/>
      <c r="Q47" s="1092"/>
      <c r="R47" s="950"/>
      <c r="S47" s="1092"/>
      <c r="T47" s="950"/>
      <c r="U47" s="226"/>
      <c r="AH47" s="691">
        <v>0</v>
      </c>
    </row>
    <row r="48" spans="1:34" s="1558" customFormat="1" ht="11.25" hidden="1" customHeight="1">
      <c r="A48" s="2631"/>
      <c r="B48" s="447"/>
      <c r="D48" s="601" t="s">
        <v>1037</v>
      </c>
      <c r="E48" s="607" t="s">
        <v>1038</v>
      </c>
      <c r="F48" s="596" t="s">
        <v>1023</v>
      </c>
      <c r="G48" s="604"/>
      <c r="H48" s="950"/>
      <c r="I48" s="604"/>
      <c r="J48" s="950"/>
      <c r="K48" s="1092"/>
      <c r="L48" s="950"/>
      <c r="M48" s="1092"/>
      <c r="N48" s="950"/>
      <c r="O48" s="1092"/>
      <c r="P48" s="950"/>
      <c r="Q48" s="1092"/>
      <c r="R48" s="950"/>
      <c r="S48" s="1092"/>
      <c r="T48" s="950"/>
      <c r="U48" s="226"/>
      <c r="AH48" s="691">
        <v>0</v>
      </c>
    </row>
    <row r="49" spans="1:34" s="1558" customFormat="1" ht="11.25" hidden="1" customHeight="1">
      <c r="A49" s="2631"/>
      <c r="B49" s="447"/>
      <c r="D49" s="601" t="s">
        <v>1039</v>
      </c>
      <c r="E49" s="607" t="s">
        <v>1040</v>
      </c>
      <c r="F49" s="596" t="s">
        <v>1023</v>
      </c>
      <c r="G49" s="604"/>
      <c r="H49" s="950"/>
      <c r="I49" s="604"/>
      <c r="J49" s="950"/>
      <c r="K49" s="1092"/>
      <c r="L49" s="950"/>
      <c r="M49" s="1092"/>
      <c r="N49" s="950"/>
      <c r="O49" s="1092"/>
      <c r="P49" s="950"/>
      <c r="Q49" s="1092"/>
      <c r="R49" s="950"/>
      <c r="S49" s="1092"/>
      <c r="T49" s="950"/>
      <c r="U49" s="226"/>
      <c r="AH49" s="691">
        <v>0</v>
      </c>
    </row>
    <row r="50" spans="1:34" s="1558" customFormat="1" ht="11.25" hidden="1" customHeight="1">
      <c r="A50" s="2631"/>
      <c r="B50" s="447"/>
      <c r="D50" s="601" t="s">
        <v>1041</v>
      </c>
      <c r="E50" s="603" t="s">
        <v>1042</v>
      </c>
      <c r="F50" s="596" t="s">
        <v>1023</v>
      </c>
      <c r="G50" s="604"/>
      <c r="H50" s="950"/>
      <c r="I50" s="604"/>
      <c r="J50" s="950"/>
      <c r="K50" s="1092"/>
      <c r="L50" s="950"/>
      <c r="M50" s="1092"/>
      <c r="N50" s="950"/>
      <c r="O50" s="1092"/>
      <c r="P50" s="950"/>
      <c r="Q50" s="1092"/>
      <c r="R50" s="950"/>
      <c r="S50" s="1092"/>
      <c r="T50" s="950"/>
      <c r="U50" s="226"/>
      <c r="AH50" s="691">
        <v>0</v>
      </c>
    </row>
    <row r="51" spans="1:34" s="1558" customFormat="1" ht="11.25" hidden="1" customHeight="1">
      <c r="A51" s="2631"/>
      <c r="B51" s="447"/>
      <c r="D51" s="601" t="s">
        <v>1043</v>
      </c>
      <c r="E51" s="603" t="s">
        <v>1044</v>
      </c>
      <c r="F51" s="596" t="s">
        <v>1023</v>
      </c>
      <c r="G51" s="604"/>
      <c r="H51" s="950"/>
      <c r="I51" s="604"/>
      <c r="J51" s="950"/>
      <c r="K51" s="1092"/>
      <c r="L51" s="950"/>
      <c r="M51" s="1092"/>
      <c r="N51" s="950"/>
      <c r="O51" s="1092"/>
      <c r="P51" s="950"/>
      <c r="Q51" s="1092"/>
      <c r="R51" s="950"/>
      <c r="S51" s="1092"/>
      <c r="T51" s="950"/>
      <c r="U51" s="226"/>
      <c r="AH51" s="691">
        <v>0</v>
      </c>
    </row>
    <row r="52" spans="1:34" s="1558" customFormat="1" ht="45" hidden="1" customHeight="1">
      <c r="A52" s="2631"/>
      <c r="B52" s="447"/>
      <c r="D52" s="601" t="s">
        <v>123</v>
      </c>
      <c r="E52" s="602" t="s">
        <v>1045</v>
      </c>
      <c r="F52" s="596" t="s">
        <v>1023</v>
      </c>
      <c r="G52" s="604"/>
      <c r="H52" s="950"/>
      <c r="I52" s="604"/>
      <c r="J52" s="950"/>
      <c r="K52" s="1092"/>
      <c r="L52" s="950"/>
      <c r="M52" s="1092"/>
      <c r="N52" s="950"/>
      <c r="O52" s="1092"/>
      <c r="P52" s="950"/>
      <c r="Q52" s="1092"/>
      <c r="R52" s="950"/>
      <c r="S52" s="1092"/>
      <c r="T52" s="950"/>
      <c r="U52" s="226"/>
      <c r="AH52" s="691">
        <v>0</v>
      </c>
    </row>
    <row r="53" spans="1:34" s="1558" customFormat="1" ht="11.25" hidden="1" customHeight="1">
      <c r="A53" s="2631"/>
      <c r="B53" s="447"/>
      <c r="D53" s="601" t="s">
        <v>332</v>
      </c>
      <c r="E53" s="603" t="s">
        <v>1034</v>
      </c>
      <c r="F53" s="596" t="s">
        <v>1023</v>
      </c>
      <c r="G53" s="604"/>
      <c r="H53" s="950"/>
      <c r="I53" s="604"/>
      <c r="J53" s="950"/>
      <c r="K53" s="1092"/>
      <c r="L53" s="950"/>
      <c r="M53" s="1092"/>
      <c r="N53" s="950"/>
      <c r="O53" s="1092"/>
      <c r="P53" s="950"/>
      <c r="Q53" s="1092"/>
      <c r="R53" s="950"/>
      <c r="S53" s="1092"/>
      <c r="T53" s="950"/>
      <c r="U53" s="226"/>
      <c r="AH53" s="691">
        <v>0</v>
      </c>
    </row>
    <row r="54" spans="1:34" s="1558" customFormat="1" ht="11.25" hidden="1" customHeight="1">
      <c r="A54" s="2631"/>
      <c r="B54" s="447"/>
      <c r="D54" s="601" t="s">
        <v>1046</v>
      </c>
      <c r="E54" s="603" t="s">
        <v>1035</v>
      </c>
      <c r="F54" s="596" t="s">
        <v>1023</v>
      </c>
      <c r="G54" s="604"/>
      <c r="H54" s="950"/>
      <c r="I54" s="604"/>
      <c r="J54" s="950"/>
      <c r="K54" s="1092"/>
      <c r="L54" s="950"/>
      <c r="M54" s="1092"/>
      <c r="N54" s="950"/>
      <c r="O54" s="1092"/>
      <c r="P54" s="950"/>
      <c r="Q54" s="1092"/>
      <c r="R54" s="950"/>
      <c r="S54" s="1092"/>
      <c r="T54" s="950"/>
      <c r="U54" s="226"/>
      <c r="AH54" s="691">
        <v>0</v>
      </c>
    </row>
    <row r="55" spans="1:34" s="1558" customFormat="1" ht="11.25" hidden="1" customHeight="1">
      <c r="A55" s="2631"/>
      <c r="B55" s="447"/>
      <c r="D55" s="601" t="s">
        <v>1047</v>
      </c>
      <c r="E55" s="603" t="s">
        <v>1036</v>
      </c>
      <c r="F55" s="596" t="s">
        <v>1023</v>
      </c>
      <c r="G55" s="604"/>
      <c r="H55" s="950"/>
      <c r="I55" s="604"/>
      <c r="J55" s="950"/>
      <c r="K55" s="1092"/>
      <c r="L55" s="950"/>
      <c r="M55" s="1092"/>
      <c r="N55" s="950"/>
      <c r="O55" s="1092"/>
      <c r="P55" s="950"/>
      <c r="Q55" s="1092"/>
      <c r="R55" s="950"/>
      <c r="S55" s="1092"/>
      <c r="T55" s="950"/>
      <c r="U55" s="226"/>
      <c r="AH55" s="691">
        <v>0</v>
      </c>
    </row>
    <row r="56" spans="1:34" s="1558" customFormat="1" ht="11.25" hidden="1" customHeight="1">
      <c r="A56" s="2631"/>
      <c r="B56" s="447"/>
      <c r="D56" s="601" t="s">
        <v>1048</v>
      </c>
      <c r="E56" s="607" t="s">
        <v>1038</v>
      </c>
      <c r="F56" s="596" t="s">
        <v>1023</v>
      </c>
      <c r="G56" s="604"/>
      <c r="H56" s="950"/>
      <c r="I56" s="604"/>
      <c r="J56" s="950"/>
      <c r="K56" s="1092"/>
      <c r="L56" s="950"/>
      <c r="M56" s="1092"/>
      <c r="N56" s="950"/>
      <c r="O56" s="1092"/>
      <c r="P56" s="950"/>
      <c r="Q56" s="1092"/>
      <c r="R56" s="950"/>
      <c r="S56" s="1092"/>
      <c r="T56" s="950"/>
      <c r="U56" s="226"/>
      <c r="AH56" s="691">
        <v>0</v>
      </c>
    </row>
    <row r="57" spans="1:34" s="1558" customFormat="1" ht="11.25" hidden="1" customHeight="1">
      <c r="A57" s="2631"/>
      <c r="B57" s="447"/>
      <c r="D57" s="601" t="s">
        <v>1049</v>
      </c>
      <c r="E57" s="607" t="s">
        <v>1040</v>
      </c>
      <c r="F57" s="596" t="s">
        <v>1023</v>
      </c>
      <c r="G57" s="604"/>
      <c r="H57" s="950"/>
      <c r="I57" s="604"/>
      <c r="J57" s="950"/>
      <c r="K57" s="1092"/>
      <c r="L57" s="950"/>
      <c r="M57" s="1092"/>
      <c r="N57" s="950"/>
      <c r="O57" s="1092"/>
      <c r="P57" s="950"/>
      <c r="Q57" s="1092"/>
      <c r="R57" s="950"/>
      <c r="S57" s="1092"/>
      <c r="T57" s="950"/>
      <c r="U57" s="226"/>
      <c r="AH57" s="691">
        <v>0</v>
      </c>
    </row>
    <row r="58" spans="1:34" s="1558" customFormat="1" ht="11.25" hidden="1" customHeight="1">
      <c r="A58" s="2631"/>
      <c r="B58" s="447"/>
      <c r="D58" s="601" t="s">
        <v>1050</v>
      </c>
      <c r="E58" s="603" t="s">
        <v>1042</v>
      </c>
      <c r="F58" s="596" t="s">
        <v>1023</v>
      </c>
      <c r="G58" s="604"/>
      <c r="H58" s="950"/>
      <c r="I58" s="604"/>
      <c r="J58" s="950"/>
      <c r="K58" s="1092"/>
      <c r="L58" s="950"/>
      <c r="M58" s="1092"/>
      <c r="N58" s="950"/>
      <c r="O58" s="1092"/>
      <c r="P58" s="950"/>
      <c r="Q58" s="1092"/>
      <c r="R58" s="950"/>
      <c r="S58" s="1092"/>
      <c r="T58" s="950"/>
      <c r="U58" s="226"/>
      <c r="AH58" s="691">
        <v>0</v>
      </c>
    </row>
    <row r="59" spans="1:34" s="1558" customFormat="1" ht="11.25" hidden="1" customHeight="1">
      <c r="A59" s="2631"/>
      <c r="B59" s="447"/>
      <c r="D59" s="601" t="s">
        <v>1051</v>
      </c>
      <c r="E59" s="603" t="s">
        <v>1044</v>
      </c>
      <c r="F59" s="596" t="s">
        <v>1023</v>
      </c>
      <c r="G59" s="604"/>
      <c r="H59" s="950"/>
      <c r="I59" s="604"/>
      <c r="J59" s="950"/>
      <c r="K59" s="1092"/>
      <c r="L59" s="950"/>
      <c r="M59" s="1092"/>
      <c r="N59" s="950"/>
      <c r="O59" s="1092"/>
      <c r="P59" s="950"/>
      <c r="Q59" s="1092"/>
      <c r="R59" s="950"/>
      <c r="S59" s="1092"/>
      <c r="T59" s="950"/>
      <c r="U59" s="226"/>
      <c r="AH59" s="691">
        <v>0</v>
      </c>
    </row>
    <row r="60" spans="1:34" s="1558" customFormat="1" ht="33.75" hidden="1" customHeight="1">
      <c r="A60" s="2631"/>
      <c r="B60" s="447"/>
      <c r="D60" s="601" t="s">
        <v>93</v>
      </c>
      <c r="E60" s="602" t="s">
        <v>1052</v>
      </c>
      <c r="F60" s="657" t="s">
        <v>575</v>
      </c>
      <c r="G60" s="677"/>
      <c r="H60" s="950"/>
      <c r="I60" s="677"/>
      <c r="J60" s="950"/>
      <c r="K60" s="677"/>
      <c r="L60" s="950"/>
      <c r="M60" s="677"/>
      <c r="N60" s="950"/>
      <c r="O60" s="677"/>
      <c r="P60" s="950"/>
      <c r="Q60" s="677"/>
      <c r="R60" s="950"/>
      <c r="S60" s="677"/>
      <c r="T60" s="950"/>
      <c r="U60" s="239" t="s">
        <v>1053</v>
      </c>
      <c r="AH60" s="691">
        <v>0</v>
      </c>
    </row>
    <row r="61" spans="1:34" s="1558" customFormat="1" ht="33.75" hidden="1" customHeight="1">
      <c r="A61" s="2631"/>
      <c r="B61" s="447"/>
      <c r="D61" s="601" t="s">
        <v>94</v>
      </c>
      <c r="E61" s="602" t="s">
        <v>1054</v>
      </c>
      <c r="F61" s="662" t="s">
        <v>983</v>
      </c>
      <c r="G61" s="604"/>
      <c r="H61" s="950"/>
      <c r="I61" s="604"/>
      <c r="J61" s="950"/>
      <c r="K61" s="1092"/>
      <c r="L61" s="950"/>
      <c r="M61" s="1092"/>
      <c r="N61" s="950"/>
      <c r="O61" s="1092"/>
      <c r="P61" s="950"/>
      <c r="Q61" s="1092"/>
      <c r="R61" s="950"/>
      <c r="S61" s="1092"/>
      <c r="T61" s="950"/>
      <c r="U61" s="226"/>
      <c r="AH61" s="691">
        <v>0</v>
      </c>
    </row>
    <row r="62" spans="1:34" s="1558" customFormat="1" ht="22.5" hidden="1" customHeight="1">
      <c r="A62" s="2631"/>
      <c r="B62" s="447" t="s">
        <v>607</v>
      </c>
      <c r="D62" s="601" t="s">
        <v>124</v>
      </c>
      <c r="E62" s="602" t="s">
        <v>1055</v>
      </c>
      <c r="F62" s="662" t="s">
        <v>325</v>
      </c>
      <c r="G62" s="318"/>
      <c r="H62" s="950"/>
      <c r="I62" s="318"/>
      <c r="J62" s="950"/>
      <c r="K62" s="1087"/>
      <c r="L62" s="950"/>
      <c r="M62" s="1087"/>
      <c r="N62" s="950"/>
      <c r="O62" s="1087"/>
      <c r="P62" s="950"/>
      <c r="Q62" s="1087"/>
      <c r="R62" s="950"/>
      <c r="S62" s="1087"/>
      <c r="T62" s="950"/>
      <c r="U62" s="226" t="s">
        <v>777</v>
      </c>
      <c r="AH62" s="691">
        <v>0</v>
      </c>
    </row>
    <row r="63" spans="1:34" s="1558" customFormat="1" ht="45" hidden="1" customHeight="1">
      <c r="A63" s="2631"/>
      <c r="B63" s="447" t="s">
        <v>607</v>
      </c>
      <c r="D63" s="601" t="s">
        <v>1056</v>
      </c>
      <c r="E63" s="603" t="s">
        <v>1057</v>
      </c>
      <c r="F63" s="657" t="s">
        <v>325</v>
      </c>
      <c r="G63" s="318"/>
      <c r="H63" s="950"/>
      <c r="I63" s="318"/>
      <c r="J63" s="950"/>
      <c r="K63" s="1087"/>
      <c r="L63" s="950"/>
      <c r="M63" s="1087"/>
      <c r="N63" s="950"/>
      <c r="O63" s="1087"/>
      <c r="P63" s="950"/>
      <c r="Q63" s="1087"/>
      <c r="R63" s="950"/>
      <c r="S63" s="1087"/>
      <c r="T63" s="950"/>
      <c r="U63" s="226" t="s">
        <v>777</v>
      </c>
      <c r="AH63" s="691">
        <v>0</v>
      </c>
    </row>
    <row r="64" spans="1:34" s="1558" customFormat="1" ht="11.45" customHeight="1">
      <c r="A64" s="960"/>
      <c r="B64" s="454"/>
      <c r="D64" s="961"/>
      <c r="E64" s="962"/>
      <c r="AH64" s="445">
        <v>11</v>
      </c>
    </row>
    <row r="65" spans="1:34" s="1558" customFormat="1" ht="22.5" hidden="1" customHeight="1">
      <c r="A65" s="2631" t="s">
        <v>1058</v>
      </c>
      <c r="B65" s="447"/>
      <c r="D65" s="601">
        <v>1</v>
      </c>
      <c r="E65" s="679" t="s">
        <v>1059</v>
      </c>
      <c r="F65" s="675" t="s">
        <v>973</v>
      </c>
      <c r="G65" s="676"/>
      <c r="H65" s="956"/>
      <c r="I65" s="676"/>
      <c r="J65" s="956"/>
      <c r="K65" s="676"/>
      <c r="L65" s="956"/>
      <c r="M65" s="676"/>
      <c r="N65" s="956"/>
      <c r="O65" s="676"/>
      <c r="P65" s="956"/>
      <c r="Q65" s="676"/>
      <c r="R65" s="956"/>
      <c r="S65" s="676"/>
      <c r="T65" s="956"/>
      <c r="U65" s="238" t="s">
        <v>1060</v>
      </c>
      <c r="AH65" s="691">
        <v>0</v>
      </c>
    </row>
    <row r="66" spans="1:34" s="1558" customFormat="1" ht="56.25" hidden="1" customHeight="1">
      <c r="A66" s="2631"/>
      <c r="B66" s="447"/>
      <c r="D66" s="678" t="s">
        <v>103</v>
      </c>
      <c r="E66" s="643" t="s">
        <v>1061</v>
      </c>
      <c r="F66" s="596" t="s">
        <v>563</v>
      </c>
      <c r="G66" s="596" t="s">
        <v>563</v>
      </c>
      <c r="H66" s="455"/>
      <c r="I66" s="596" t="s">
        <v>563</v>
      </c>
      <c r="J66" s="455"/>
      <c r="K66" s="2013" t="s">
        <v>563</v>
      </c>
      <c r="L66" s="455"/>
      <c r="M66" s="2013" t="s">
        <v>563</v>
      </c>
      <c r="N66" s="455"/>
      <c r="O66" s="2013" t="s">
        <v>563</v>
      </c>
      <c r="P66" s="455"/>
      <c r="Q66" s="2013" t="s">
        <v>563</v>
      </c>
      <c r="R66" s="455"/>
      <c r="S66" s="2013" t="s">
        <v>563</v>
      </c>
      <c r="T66" s="455"/>
      <c r="U66" s="226"/>
      <c r="AH66" s="691">
        <v>0</v>
      </c>
    </row>
    <row r="67" spans="1:34" s="1558" customFormat="1" ht="33.75" hidden="1" customHeight="1">
      <c r="A67" s="2631"/>
      <c r="B67" s="447"/>
      <c r="D67" s="678" t="s">
        <v>854</v>
      </c>
      <c r="E67" s="882" t="s">
        <v>1062</v>
      </c>
      <c r="F67" s="596" t="s">
        <v>1026</v>
      </c>
      <c r="G67" s="663"/>
      <c r="H67" s="455"/>
      <c r="I67" s="663"/>
      <c r="J67" s="455"/>
      <c r="K67" s="663"/>
      <c r="L67" s="455"/>
      <c r="M67" s="663"/>
      <c r="N67" s="455"/>
      <c r="O67" s="663"/>
      <c r="P67" s="455"/>
      <c r="Q67" s="663"/>
      <c r="R67" s="455"/>
      <c r="S67" s="663"/>
      <c r="T67" s="455"/>
      <c r="U67" s="226"/>
      <c r="AH67" s="691">
        <v>0</v>
      </c>
    </row>
    <row r="68" spans="1:34" s="1558" customFormat="1" ht="22.5" hidden="1" customHeight="1">
      <c r="A68" s="2631"/>
      <c r="B68" s="447"/>
      <c r="D68" s="678" t="s">
        <v>326</v>
      </c>
      <c r="E68" s="882" t="s">
        <v>1063</v>
      </c>
      <c r="F68" s="596" t="s">
        <v>1026</v>
      </c>
      <c r="G68" s="663"/>
      <c r="H68" s="455"/>
      <c r="I68" s="663"/>
      <c r="J68" s="455"/>
      <c r="K68" s="663"/>
      <c r="L68" s="455"/>
      <c r="M68" s="663"/>
      <c r="N68" s="455"/>
      <c r="O68" s="663"/>
      <c r="P68" s="455"/>
      <c r="Q68" s="663"/>
      <c r="R68" s="455"/>
      <c r="S68" s="663"/>
      <c r="T68" s="455"/>
      <c r="U68" s="226"/>
      <c r="AH68" s="691">
        <v>0</v>
      </c>
    </row>
    <row r="69" spans="1:34" s="1558" customFormat="1" ht="22.5" hidden="1" customHeight="1">
      <c r="A69" s="2631"/>
      <c r="B69" s="447"/>
      <c r="D69" s="678" t="s">
        <v>329</v>
      </c>
      <c r="E69" s="882" t="s">
        <v>1064</v>
      </c>
      <c r="F69" s="657" t="s">
        <v>575</v>
      </c>
      <c r="G69" s="677"/>
      <c r="H69" s="455"/>
      <c r="I69" s="677"/>
      <c r="J69" s="455"/>
      <c r="K69" s="677"/>
      <c r="L69" s="455"/>
      <c r="M69" s="677"/>
      <c r="N69" s="455"/>
      <c r="O69" s="677"/>
      <c r="P69" s="455"/>
      <c r="Q69" s="677"/>
      <c r="R69" s="455"/>
      <c r="S69" s="677"/>
      <c r="T69" s="455"/>
      <c r="U69" s="226"/>
      <c r="AH69" s="691">
        <v>0</v>
      </c>
    </row>
    <row r="70" spans="1:34" s="1558" customFormat="1" ht="22.5" hidden="1" customHeight="1">
      <c r="A70" s="2631"/>
      <c r="B70" s="447"/>
      <c r="D70" s="678" t="s">
        <v>874</v>
      </c>
      <c r="E70" s="882" t="s">
        <v>1065</v>
      </c>
      <c r="F70" s="657" t="s">
        <v>575</v>
      </c>
      <c r="G70" s="677"/>
      <c r="H70" s="455"/>
      <c r="I70" s="677"/>
      <c r="J70" s="455"/>
      <c r="K70" s="677"/>
      <c r="L70" s="455"/>
      <c r="M70" s="677"/>
      <c r="N70" s="455"/>
      <c r="O70" s="677"/>
      <c r="P70" s="455"/>
      <c r="Q70" s="677"/>
      <c r="R70" s="455"/>
      <c r="S70" s="677"/>
      <c r="T70" s="455"/>
      <c r="U70" s="226"/>
      <c r="AH70" s="691">
        <v>0</v>
      </c>
    </row>
    <row r="71" spans="1:34" s="1558" customFormat="1" ht="22.5" hidden="1" customHeight="1">
      <c r="A71" s="2631"/>
      <c r="B71" s="447"/>
      <c r="D71" s="601" t="s">
        <v>91</v>
      </c>
      <c r="E71" s="602" t="s">
        <v>1066</v>
      </c>
      <c r="F71" s="596" t="s">
        <v>1026</v>
      </c>
      <c r="G71" s="493"/>
      <c r="H71" s="957"/>
      <c r="I71" s="493"/>
      <c r="J71" s="957"/>
      <c r="K71" s="493"/>
      <c r="L71" s="957"/>
      <c r="M71" s="493"/>
      <c r="N71" s="957"/>
      <c r="O71" s="493"/>
      <c r="P71" s="957"/>
      <c r="Q71" s="493"/>
      <c r="R71" s="957"/>
      <c r="S71" s="493"/>
      <c r="T71" s="957"/>
      <c r="U71" s="239"/>
      <c r="AH71" s="691">
        <v>0</v>
      </c>
    </row>
    <row r="72" spans="1:34" s="1558" customFormat="1" ht="56.25" hidden="1" customHeight="1">
      <c r="A72" s="2631"/>
      <c r="B72" s="447"/>
      <c r="D72" s="601" t="s">
        <v>92</v>
      </c>
      <c r="E72" s="602" t="s">
        <v>1067</v>
      </c>
      <c r="F72" s="657" t="s">
        <v>575</v>
      </c>
      <c r="G72" s="677"/>
      <c r="H72" s="950"/>
      <c r="I72" s="677"/>
      <c r="J72" s="950"/>
      <c r="K72" s="677"/>
      <c r="L72" s="950"/>
      <c r="M72" s="677"/>
      <c r="N72" s="950"/>
      <c r="O72" s="677"/>
      <c r="P72" s="950"/>
      <c r="Q72" s="677"/>
      <c r="R72" s="950"/>
      <c r="S72" s="677"/>
      <c r="T72" s="950"/>
      <c r="U72" s="239"/>
      <c r="AH72" s="691">
        <v>0</v>
      </c>
    </row>
    <row r="73" spans="1:34" s="1558" customFormat="1" ht="33.75" hidden="1" customHeight="1">
      <c r="A73" s="2631"/>
      <c r="B73" s="447"/>
      <c r="D73" s="601" t="s">
        <v>123</v>
      </c>
      <c r="E73" s="602" t="s">
        <v>1068</v>
      </c>
      <c r="F73" s="662" t="s">
        <v>983</v>
      </c>
      <c r="G73" s="604"/>
      <c r="H73" s="950"/>
      <c r="I73" s="604"/>
      <c r="J73" s="950"/>
      <c r="K73" s="1092"/>
      <c r="L73" s="950"/>
      <c r="M73" s="1092"/>
      <c r="N73" s="950"/>
      <c r="O73" s="1092"/>
      <c r="P73" s="950"/>
      <c r="Q73" s="1092"/>
      <c r="R73" s="950"/>
      <c r="S73" s="1092"/>
      <c r="T73" s="950"/>
      <c r="U73" s="226"/>
      <c r="AH73" s="691">
        <v>0</v>
      </c>
    </row>
    <row r="74" spans="1:34" s="1558" customFormat="1" ht="22.5" hidden="1" customHeight="1">
      <c r="A74" s="2631"/>
      <c r="B74" s="447" t="s">
        <v>607</v>
      </c>
      <c r="D74" s="601" t="s">
        <v>93</v>
      </c>
      <c r="E74" s="602" t="s">
        <v>1069</v>
      </c>
      <c r="F74" s="662" t="s">
        <v>325</v>
      </c>
      <c r="G74" s="318"/>
      <c r="H74" s="950"/>
      <c r="I74" s="318"/>
      <c r="J74" s="950"/>
      <c r="K74" s="1087"/>
      <c r="L74" s="950"/>
      <c r="M74" s="1087"/>
      <c r="N74" s="950"/>
      <c r="O74" s="1087"/>
      <c r="P74" s="950"/>
      <c r="Q74" s="1087"/>
      <c r="R74" s="950"/>
      <c r="S74" s="1087"/>
      <c r="T74" s="950"/>
      <c r="U74" s="226" t="s">
        <v>777</v>
      </c>
      <c r="AH74" s="691">
        <v>0</v>
      </c>
    </row>
    <row r="75" spans="1:34" s="1558" customFormat="1" ht="45" hidden="1" customHeight="1">
      <c r="A75" s="2631"/>
      <c r="B75" s="447" t="s">
        <v>607</v>
      </c>
      <c r="D75" s="601" t="s">
        <v>798</v>
      </c>
      <c r="E75" s="603" t="s">
        <v>1070</v>
      </c>
      <c r="F75" s="657" t="s">
        <v>325</v>
      </c>
      <c r="G75" s="318"/>
      <c r="H75" s="950"/>
      <c r="I75" s="318"/>
      <c r="J75" s="950"/>
      <c r="K75" s="1087"/>
      <c r="L75" s="950"/>
      <c r="M75" s="1087"/>
      <c r="N75" s="950"/>
      <c r="O75" s="1087"/>
      <c r="P75" s="950"/>
      <c r="Q75" s="1087"/>
      <c r="R75" s="950"/>
      <c r="S75" s="1087"/>
      <c r="T75" s="950"/>
      <c r="U75" s="226" t="s">
        <v>777</v>
      </c>
      <c r="AH75" s="691">
        <v>0</v>
      </c>
    </row>
    <row r="76" spans="1:34" s="1558" customFormat="1" ht="11.45" customHeight="1">
      <c r="A76" s="960"/>
      <c r="B76" s="454"/>
      <c r="D76" s="961"/>
      <c r="E76" s="962"/>
      <c r="AH76" s="445">
        <v>11</v>
      </c>
    </row>
    <row r="77" spans="1:34" s="1558" customFormat="1" ht="11.25" hidden="1" customHeight="1">
      <c r="A77" s="2631" t="s">
        <v>1071</v>
      </c>
      <c r="B77" s="447"/>
      <c r="D77" s="601">
        <v>1</v>
      </c>
      <c r="E77" s="602" t="s">
        <v>1072</v>
      </c>
      <c r="F77" s="657" t="s">
        <v>973</v>
      </c>
      <c r="G77" s="660"/>
      <c r="H77" s="950"/>
      <c r="I77" s="660"/>
      <c r="J77" s="950"/>
      <c r="K77" s="660"/>
      <c r="L77" s="950"/>
      <c r="M77" s="660"/>
      <c r="N77" s="950"/>
      <c r="O77" s="660"/>
      <c r="P77" s="950"/>
      <c r="Q77" s="660"/>
      <c r="R77" s="950"/>
      <c r="S77" s="660"/>
      <c r="T77" s="950"/>
      <c r="U77" s="226" t="s">
        <v>1073</v>
      </c>
      <c r="AH77" s="691">
        <v>0</v>
      </c>
    </row>
    <row r="78" spans="1:34" s="1558" customFormat="1" ht="11.25" hidden="1" customHeight="1">
      <c r="A78" s="2631"/>
      <c r="B78" s="447"/>
      <c r="D78" s="601" t="s">
        <v>103</v>
      </c>
      <c r="E78" s="602" t="s">
        <v>1074</v>
      </c>
      <c r="F78" s="657" t="s">
        <v>973</v>
      </c>
      <c r="G78" s="660"/>
      <c r="H78" s="950"/>
      <c r="I78" s="660"/>
      <c r="J78" s="950"/>
      <c r="K78" s="660"/>
      <c r="L78" s="950"/>
      <c r="M78" s="660"/>
      <c r="N78" s="950"/>
      <c r="O78" s="660"/>
      <c r="P78" s="950"/>
      <c r="Q78" s="660"/>
      <c r="R78" s="950"/>
      <c r="S78" s="660"/>
      <c r="T78" s="950"/>
      <c r="U78" s="226" t="s">
        <v>1075</v>
      </c>
      <c r="AH78" s="691">
        <v>0</v>
      </c>
    </row>
    <row r="79" spans="1:34" s="1558" customFormat="1" ht="22.5" hidden="1" customHeight="1">
      <c r="A79" s="2631"/>
      <c r="B79" s="447"/>
      <c r="D79" s="601" t="s">
        <v>91</v>
      </c>
      <c r="E79" s="658" t="s">
        <v>1076</v>
      </c>
      <c r="F79" s="596" t="s">
        <v>1023</v>
      </c>
      <c r="G79" s="660"/>
      <c r="H79" s="950"/>
      <c r="I79" s="660"/>
      <c r="J79" s="950"/>
      <c r="K79" s="660"/>
      <c r="L79" s="950"/>
      <c r="M79" s="660"/>
      <c r="N79" s="950"/>
      <c r="O79" s="660"/>
      <c r="P79" s="950"/>
      <c r="Q79" s="660"/>
      <c r="R79" s="950"/>
      <c r="S79" s="660"/>
      <c r="T79" s="950"/>
      <c r="U79" s="226" t="s">
        <v>1077</v>
      </c>
      <c r="AH79" s="691">
        <v>0</v>
      </c>
    </row>
    <row r="80" spans="1:34" s="1558" customFormat="1" ht="11.25" hidden="1" customHeight="1">
      <c r="A80" s="2631"/>
      <c r="B80" s="447"/>
      <c r="D80" s="601" t="s">
        <v>343</v>
      </c>
      <c r="E80" s="659" t="s">
        <v>1078</v>
      </c>
      <c r="F80" s="596" t="s">
        <v>1023</v>
      </c>
      <c r="G80" s="660"/>
      <c r="H80" s="950"/>
      <c r="I80" s="660"/>
      <c r="J80" s="950"/>
      <c r="K80" s="660"/>
      <c r="L80" s="950"/>
      <c r="M80" s="660"/>
      <c r="N80" s="950"/>
      <c r="O80" s="660"/>
      <c r="P80" s="950"/>
      <c r="Q80" s="660"/>
      <c r="R80" s="950"/>
      <c r="S80" s="660"/>
      <c r="T80" s="950"/>
      <c r="U80" s="226"/>
      <c r="AH80" s="691">
        <v>0</v>
      </c>
    </row>
    <row r="81" spans="1:34" s="1558" customFormat="1" ht="11.25" hidden="1" customHeight="1">
      <c r="A81" s="2631"/>
      <c r="B81" s="447"/>
      <c r="D81" s="601" t="s">
        <v>351</v>
      </c>
      <c r="E81" s="659" t="s">
        <v>1079</v>
      </c>
      <c r="F81" s="596" t="s">
        <v>1023</v>
      </c>
      <c r="G81" s="660"/>
      <c r="H81" s="950"/>
      <c r="I81" s="660"/>
      <c r="J81" s="950"/>
      <c r="K81" s="660"/>
      <c r="L81" s="950"/>
      <c r="M81" s="660"/>
      <c r="N81" s="950"/>
      <c r="O81" s="660"/>
      <c r="P81" s="950"/>
      <c r="Q81" s="660"/>
      <c r="R81" s="950"/>
      <c r="S81" s="660"/>
      <c r="T81" s="950"/>
      <c r="U81" s="226"/>
      <c r="AH81" s="691">
        <v>0</v>
      </c>
    </row>
    <row r="82" spans="1:34" s="1558" customFormat="1" ht="11.25" hidden="1" customHeight="1">
      <c r="A82" s="2631"/>
      <c r="B82" s="447"/>
      <c r="D82" s="601" t="s">
        <v>353</v>
      </c>
      <c r="E82" s="659" t="s">
        <v>1080</v>
      </c>
      <c r="F82" s="596" t="s">
        <v>1023</v>
      </c>
      <c r="G82" s="660"/>
      <c r="H82" s="950"/>
      <c r="I82" s="660"/>
      <c r="J82" s="950"/>
      <c r="K82" s="660"/>
      <c r="L82" s="950"/>
      <c r="M82" s="660"/>
      <c r="N82" s="950"/>
      <c r="O82" s="660"/>
      <c r="P82" s="950"/>
      <c r="Q82" s="660"/>
      <c r="R82" s="950"/>
      <c r="S82" s="660"/>
      <c r="T82" s="950"/>
      <c r="U82" s="226"/>
      <c r="AH82" s="691">
        <v>0</v>
      </c>
    </row>
    <row r="83" spans="1:34" s="1558" customFormat="1" ht="11.25" hidden="1" customHeight="1">
      <c r="A83" s="2631"/>
      <c r="B83" s="447"/>
      <c r="D83" s="601" t="s">
        <v>355</v>
      </c>
      <c r="E83" s="659" t="s">
        <v>1081</v>
      </c>
      <c r="F83" s="596" t="s">
        <v>1023</v>
      </c>
      <c r="G83" s="660"/>
      <c r="H83" s="950"/>
      <c r="I83" s="660"/>
      <c r="J83" s="950"/>
      <c r="K83" s="660"/>
      <c r="L83" s="950"/>
      <c r="M83" s="660"/>
      <c r="N83" s="950"/>
      <c r="O83" s="660"/>
      <c r="P83" s="950"/>
      <c r="Q83" s="660"/>
      <c r="R83" s="950"/>
      <c r="S83" s="660"/>
      <c r="T83" s="950"/>
      <c r="U83" s="226"/>
      <c r="AH83" s="691">
        <v>0</v>
      </c>
    </row>
    <row r="84" spans="1:34" s="1558" customFormat="1" ht="11.25" hidden="1" customHeight="1">
      <c r="A84" s="2631"/>
      <c r="B84" s="447"/>
      <c r="D84" s="601" t="s">
        <v>1082</v>
      </c>
      <c r="E84" s="659" t="s">
        <v>1083</v>
      </c>
      <c r="F84" s="596" t="s">
        <v>1023</v>
      </c>
      <c r="G84" s="660"/>
      <c r="H84" s="950"/>
      <c r="I84" s="660"/>
      <c r="J84" s="950"/>
      <c r="K84" s="660"/>
      <c r="L84" s="950"/>
      <c r="M84" s="660"/>
      <c r="N84" s="950"/>
      <c r="O84" s="660"/>
      <c r="P84" s="950"/>
      <c r="Q84" s="660"/>
      <c r="R84" s="950"/>
      <c r="S84" s="660"/>
      <c r="T84" s="950"/>
      <c r="U84" s="226"/>
      <c r="AH84" s="691">
        <v>0</v>
      </c>
    </row>
    <row r="85" spans="1:34" s="1558" customFormat="1" ht="11.25" hidden="1" customHeight="1">
      <c r="A85" s="2631"/>
      <c r="B85" s="447"/>
      <c r="D85" s="601" t="s">
        <v>1084</v>
      </c>
      <c r="E85" s="659" t="s">
        <v>1085</v>
      </c>
      <c r="F85" s="596" t="s">
        <v>1023</v>
      </c>
      <c r="G85" s="660"/>
      <c r="H85" s="950"/>
      <c r="I85" s="660"/>
      <c r="J85" s="950"/>
      <c r="K85" s="660"/>
      <c r="L85" s="950"/>
      <c r="M85" s="660"/>
      <c r="N85" s="950"/>
      <c r="O85" s="660"/>
      <c r="P85" s="950"/>
      <c r="Q85" s="660"/>
      <c r="R85" s="950"/>
      <c r="S85" s="660"/>
      <c r="T85" s="950"/>
      <c r="U85" s="226"/>
      <c r="AH85" s="691">
        <v>0</v>
      </c>
    </row>
    <row r="86" spans="1:34" s="1558" customFormat="1" ht="11.25" hidden="1" customHeight="1">
      <c r="A86" s="2631"/>
      <c r="B86" s="447"/>
      <c r="D86" s="601" t="s">
        <v>1086</v>
      </c>
      <c r="E86" s="659" t="s">
        <v>1087</v>
      </c>
      <c r="F86" s="596" t="s">
        <v>1023</v>
      </c>
      <c r="G86" s="660"/>
      <c r="H86" s="950"/>
      <c r="I86" s="660"/>
      <c r="J86" s="950"/>
      <c r="K86" s="660"/>
      <c r="L86" s="950"/>
      <c r="M86" s="660"/>
      <c r="N86" s="950"/>
      <c r="O86" s="660"/>
      <c r="P86" s="950"/>
      <c r="Q86" s="660"/>
      <c r="R86" s="950"/>
      <c r="S86" s="660"/>
      <c r="T86" s="950"/>
      <c r="U86" s="226"/>
      <c r="AH86" s="691">
        <v>0</v>
      </c>
    </row>
    <row r="87" spans="1:34" s="1558" customFormat="1" ht="45" hidden="1" customHeight="1">
      <c r="A87" s="2631"/>
      <c r="B87" s="447"/>
      <c r="D87" s="601" t="s">
        <v>92</v>
      </c>
      <c r="E87" s="602" t="s">
        <v>1088</v>
      </c>
      <c r="F87" s="596" t="s">
        <v>1023</v>
      </c>
      <c r="G87" s="660"/>
      <c r="H87" s="950"/>
      <c r="I87" s="660"/>
      <c r="J87" s="950"/>
      <c r="K87" s="660"/>
      <c r="L87" s="950"/>
      <c r="M87" s="660"/>
      <c r="N87" s="950"/>
      <c r="O87" s="660"/>
      <c r="P87" s="950"/>
      <c r="Q87" s="660"/>
      <c r="R87" s="950"/>
      <c r="S87" s="660"/>
      <c r="T87" s="950"/>
      <c r="U87" s="226" t="s">
        <v>1089</v>
      </c>
      <c r="AH87" s="691">
        <v>0</v>
      </c>
    </row>
    <row r="88" spans="1:34" s="1558" customFormat="1" ht="11.25" hidden="1" customHeight="1">
      <c r="A88" s="2631"/>
      <c r="B88" s="447"/>
      <c r="D88" s="601" t="s">
        <v>905</v>
      </c>
      <c r="E88" s="659" t="s">
        <v>1078</v>
      </c>
      <c r="F88" s="596" t="s">
        <v>1023</v>
      </c>
      <c r="G88" s="660"/>
      <c r="H88" s="950"/>
      <c r="I88" s="660"/>
      <c r="J88" s="950"/>
      <c r="K88" s="660"/>
      <c r="L88" s="950"/>
      <c r="M88" s="660"/>
      <c r="N88" s="950"/>
      <c r="O88" s="660"/>
      <c r="P88" s="950"/>
      <c r="Q88" s="660"/>
      <c r="R88" s="950"/>
      <c r="S88" s="660"/>
      <c r="T88" s="950"/>
      <c r="U88" s="226"/>
      <c r="AH88" s="691">
        <v>0</v>
      </c>
    </row>
    <row r="89" spans="1:34" s="1558" customFormat="1" ht="11.25" hidden="1" customHeight="1">
      <c r="A89" s="2631"/>
      <c r="B89" s="447"/>
      <c r="D89" s="601" t="s">
        <v>949</v>
      </c>
      <c r="E89" s="659" t="s">
        <v>1079</v>
      </c>
      <c r="F89" s="596" t="s">
        <v>1023</v>
      </c>
      <c r="G89" s="660"/>
      <c r="H89" s="950"/>
      <c r="I89" s="660"/>
      <c r="J89" s="950"/>
      <c r="K89" s="660"/>
      <c r="L89" s="950"/>
      <c r="M89" s="660"/>
      <c r="N89" s="950"/>
      <c r="O89" s="660"/>
      <c r="P89" s="950"/>
      <c r="Q89" s="660"/>
      <c r="R89" s="950"/>
      <c r="S89" s="660"/>
      <c r="T89" s="950"/>
      <c r="U89" s="226"/>
      <c r="AH89" s="691">
        <v>0</v>
      </c>
    </row>
    <row r="90" spans="1:34" s="1558" customFormat="1" ht="11.25" hidden="1" customHeight="1">
      <c r="A90" s="2631"/>
      <c r="B90" s="447"/>
      <c r="D90" s="601" t="s">
        <v>952</v>
      </c>
      <c r="E90" s="659" t="s">
        <v>1080</v>
      </c>
      <c r="F90" s="596" t="s">
        <v>1023</v>
      </c>
      <c r="G90" s="660"/>
      <c r="H90" s="950"/>
      <c r="I90" s="660"/>
      <c r="J90" s="950"/>
      <c r="K90" s="660"/>
      <c r="L90" s="950"/>
      <c r="M90" s="660"/>
      <c r="N90" s="950"/>
      <c r="O90" s="660"/>
      <c r="P90" s="950"/>
      <c r="Q90" s="660"/>
      <c r="R90" s="950"/>
      <c r="S90" s="660"/>
      <c r="T90" s="950"/>
      <c r="U90" s="226"/>
      <c r="AH90" s="691">
        <v>0</v>
      </c>
    </row>
    <row r="91" spans="1:34" s="1558" customFormat="1" ht="11.25" hidden="1" customHeight="1">
      <c r="A91" s="2631"/>
      <c r="B91" s="447"/>
      <c r="D91" s="601" t="s">
        <v>1041</v>
      </c>
      <c r="E91" s="659" t="s">
        <v>1081</v>
      </c>
      <c r="F91" s="596" t="s">
        <v>1023</v>
      </c>
      <c r="G91" s="660"/>
      <c r="H91" s="950"/>
      <c r="I91" s="660"/>
      <c r="J91" s="950"/>
      <c r="K91" s="660"/>
      <c r="L91" s="950"/>
      <c r="M91" s="660"/>
      <c r="N91" s="950"/>
      <c r="O91" s="660"/>
      <c r="P91" s="950"/>
      <c r="Q91" s="660"/>
      <c r="R91" s="950"/>
      <c r="S91" s="660"/>
      <c r="T91" s="950"/>
      <c r="U91" s="226"/>
      <c r="AH91" s="691">
        <v>0</v>
      </c>
    </row>
    <row r="92" spans="1:34" s="1558" customFormat="1" ht="11.25" hidden="1" customHeight="1">
      <c r="A92" s="2631"/>
      <c r="B92" s="447"/>
      <c r="D92" s="601" t="s">
        <v>1043</v>
      </c>
      <c r="E92" s="659" t="s">
        <v>1083</v>
      </c>
      <c r="F92" s="596" t="s">
        <v>1023</v>
      </c>
      <c r="G92" s="660"/>
      <c r="H92" s="950"/>
      <c r="I92" s="660"/>
      <c r="J92" s="950"/>
      <c r="K92" s="660"/>
      <c r="L92" s="950"/>
      <c r="M92" s="660"/>
      <c r="N92" s="950"/>
      <c r="O92" s="660"/>
      <c r="P92" s="950"/>
      <c r="Q92" s="660"/>
      <c r="R92" s="950"/>
      <c r="S92" s="660"/>
      <c r="T92" s="950"/>
      <c r="U92" s="226"/>
      <c r="AH92" s="691">
        <v>0</v>
      </c>
    </row>
    <row r="93" spans="1:34" s="1558" customFormat="1" ht="11.25" hidden="1" customHeight="1">
      <c r="A93" s="2631"/>
      <c r="B93" s="447"/>
      <c r="D93" s="601" t="s">
        <v>1090</v>
      </c>
      <c r="E93" s="659" t="s">
        <v>1085</v>
      </c>
      <c r="F93" s="596" t="s">
        <v>1023</v>
      </c>
      <c r="G93" s="660"/>
      <c r="H93" s="950"/>
      <c r="I93" s="660"/>
      <c r="J93" s="950"/>
      <c r="K93" s="660"/>
      <c r="L93" s="950"/>
      <c r="M93" s="660"/>
      <c r="N93" s="950"/>
      <c r="O93" s="660"/>
      <c r="P93" s="950"/>
      <c r="Q93" s="660"/>
      <c r="R93" s="950"/>
      <c r="S93" s="660"/>
      <c r="T93" s="950"/>
      <c r="U93" s="226"/>
      <c r="AH93" s="691">
        <v>0</v>
      </c>
    </row>
    <row r="94" spans="1:34" s="1558" customFormat="1" ht="11.25" hidden="1" customHeight="1">
      <c r="A94" s="2631"/>
      <c r="B94" s="447"/>
      <c r="D94" s="601" t="s">
        <v>1091</v>
      </c>
      <c r="E94" s="659" t="s">
        <v>1087</v>
      </c>
      <c r="F94" s="596" t="s">
        <v>1023</v>
      </c>
      <c r="G94" s="660"/>
      <c r="H94" s="950"/>
      <c r="I94" s="660"/>
      <c r="J94" s="950"/>
      <c r="K94" s="660"/>
      <c r="L94" s="950"/>
      <c r="M94" s="660"/>
      <c r="N94" s="950"/>
      <c r="O94" s="660"/>
      <c r="P94" s="950"/>
      <c r="Q94" s="660"/>
      <c r="R94" s="950"/>
      <c r="S94" s="660"/>
      <c r="T94" s="950"/>
      <c r="U94" s="226"/>
      <c r="AH94" s="691">
        <v>0</v>
      </c>
    </row>
    <row r="95" spans="1:34" s="1558" customFormat="1" ht="24.75" hidden="1" customHeight="1">
      <c r="A95" s="2631"/>
      <c r="B95" s="447"/>
      <c r="D95" s="601" t="s">
        <v>123</v>
      </c>
      <c r="E95" s="602" t="s">
        <v>1092</v>
      </c>
      <c r="F95" s="661" t="s">
        <v>575</v>
      </c>
      <c r="G95" s="663"/>
      <c r="H95" s="950"/>
      <c r="I95" s="663"/>
      <c r="J95" s="950"/>
      <c r="K95" s="663"/>
      <c r="L95" s="950"/>
      <c r="M95" s="663"/>
      <c r="N95" s="950"/>
      <c r="O95" s="663"/>
      <c r="P95" s="950"/>
      <c r="Q95" s="663"/>
      <c r="R95" s="950"/>
      <c r="S95" s="663"/>
      <c r="T95" s="950"/>
      <c r="U95" s="226" t="s">
        <v>1093</v>
      </c>
      <c r="AH95" s="691">
        <v>0</v>
      </c>
    </row>
    <row r="96" spans="1:34" s="1558" customFormat="1" ht="33.75" hidden="1" customHeight="1">
      <c r="A96" s="2631"/>
      <c r="B96" s="447"/>
      <c r="D96" s="601" t="s">
        <v>93</v>
      </c>
      <c r="E96" s="602" t="s">
        <v>1094</v>
      </c>
      <c r="F96" s="662" t="s">
        <v>983</v>
      </c>
      <c r="G96" s="664"/>
      <c r="H96" s="950"/>
      <c r="I96" s="664"/>
      <c r="J96" s="950"/>
      <c r="K96" s="664"/>
      <c r="L96" s="950"/>
      <c r="M96" s="664"/>
      <c r="N96" s="950"/>
      <c r="O96" s="664"/>
      <c r="P96" s="950"/>
      <c r="Q96" s="664"/>
      <c r="R96" s="950"/>
      <c r="S96" s="664"/>
      <c r="T96" s="950"/>
      <c r="U96" s="226"/>
      <c r="AH96" s="691">
        <v>0</v>
      </c>
    </row>
    <row r="97" spans="1:34" s="1558" customFormat="1" ht="22.5" hidden="1" customHeight="1">
      <c r="A97" s="2631"/>
      <c r="B97" s="447" t="s">
        <v>607</v>
      </c>
      <c r="D97" s="601" t="s">
        <v>94</v>
      </c>
      <c r="E97" s="602" t="s">
        <v>1095</v>
      </c>
      <c r="F97" s="662" t="s">
        <v>325</v>
      </c>
      <c r="G97" s="321"/>
      <c r="H97" s="950"/>
      <c r="I97" s="321"/>
      <c r="J97" s="950"/>
      <c r="K97" s="321"/>
      <c r="L97" s="950"/>
      <c r="M97" s="321"/>
      <c r="N97" s="950"/>
      <c r="O97" s="321"/>
      <c r="P97" s="950"/>
      <c r="Q97" s="321"/>
      <c r="R97" s="950"/>
      <c r="S97" s="321"/>
      <c r="T97" s="950"/>
      <c r="U97" s="226" t="s">
        <v>777</v>
      </c>
      <c r="AH97" s="691">
        <v>0</v>
      </c>
    </row>
    <row r="98" spans="1:34" s="1558" customFormat="1" ht="45" hidden="1" customHeight="1">
      <c r="A98" s="2631"/>
      <c r="B98" s="447" t="s">
        <v>607</v>
      </c>
      <c r="D98" s="601" t="s">
        <v>961</v>
      </c>
      <c r="E98" s="603" t="s">
        <v>1096</v>
      </c>
      <c r="F98" s="657" t="s">
        <v>325</v>
      </c>
      <c r="G98" s="321"/>
      <c r="H98" s="950"/>
      <c r="I98" s="321"/>
      <c r="J98" s="950"/>
      <c r="K98" s="321"/>
      <c r="L98" s="950"/>
      <c r="M98" s="321"/>
      <c r="N98" s="950"/>
      <c r="O98" s="321"/>
      <c r="P98" s="950"/>
      <c r="Q98" s="321"/>
      <c r="R98" s="950"/>
      <c r="S98" s="321"/>
      <c r="T98" s="950"/>
      <c r="U98" s="226" t="s">
        <v>777</v>
      </c>
      <c r="AH98" s="691">
        <v>0</v>
      </c>
    </row>
    <row r="99" spans="1:34" s="1558" customFormat="1" ht="95.25" hidden="1" customHeight="1">
      <c r="A99" s="2631"/>
      <c r="B99" s="447" t="s">
        <v>607</v>
      </c>
      <c r="D99" s="601" t="s">
        <v>124</v>
      </c>
      <c r="E99" s="602" t="s">
        <v>1097</v>
      </c>
      <c r="F99" s="657" t="s">
        <v>325</v>
      </c>
      <c r="G99" s="321"/>
      <c r="H99" s="950"/>
      <c r="I99" s="321"/>
      <c r="J99" s="950"/>
      <c r="K99" s="321"/>
      <c r="L99" s="950"/>
      <c r="M99" s="321"/>
      <c r="N99" s="950"/>
      <c r="O99" s="321"/>
      <c r="P99" s="950"/>
      <c r="Q99" s="321"/>
      <c r="R99" s="950"/>
      <c r="S99" s="321"/>
      <c r="T99" s="950"/>
      <c r="U99" s="226" t="s">
        <v>777</v>
      </c>
      <c r="AH99" s="691">
        <v>0</v>
      </c>
    </row>
    <row r="100" spans="1:34" s="1558" customFormat="1" ht="22.5" hidden="1" customHeight="1">
      <c r="A100" s="2631"/>
      <c r="B100" s="447" t="s">
        <v>607</v>
      </c>
      <c r="D100" s="601" t="s">
        <v>169</v>
      </c>
      <c r="E100" s="602" t="s">
        <v>1098</v>
      </c>
      <c r="F100" s="657" t="s">
        <v>325</v>
      </c>
      <c r="G100" s="321"/>
      <c r="H100" s="950"/>
      <c r="I100" s="321"/>
      <c r="J100" s="950"/>
      <c r="K100" s="321"/>
      <c r="L100" s="950"/>
      <c r="M100" s="321"/>
      <c r="N100" s="950"/>
      <c r="O100" s="321"/>
      <c r="P100" s="950"/>
      <c r="Q100" s="321"/>
      <c r="R100" s="950"/>
      <c r="S100" s="321"/>
      <c r="T100" s="950"/>
      <c r="U100" s="226" t="s">
        <v>777</v>
      </c>
      <c r="AH100" s="691">
        <v>0</v>
      </c>
    </row>
    <row r="101" spans="1:34" s="1558" customFormat="1" ht="11.45" customHeight="1">
      <c r="A101" s="960"/>
      <c r="B101" s="454"/>
      <c r="D101" s="961"/>
      <c r="E101" s="962"/>
      <c r="AH101" s="445">
        <v>11</v>
      </c>
    </row>
    <row r="102" spans="1:34" ht="22.5" hidden="1" customHeight="1">
      <c r="A102" s="472" t="s">
        <v>83</v>
      </c>
      <c r="B102" s="447">
        <v>0</v>
      </c>
      <c r="C102" s="441">
        <v>3</v>
      </c>
      <c r="D102" s="441">
        <v>7</v>
      </c>
      <c r="E102" s="441">
        <v>69</v>
      </c>
      <c r="F102" s="441">
        <v>10</v>
      </c>
      <c r="G102" s="441">
        <v>0</v>
      </c>
      <c r="H102" s="441">
        <v>0</v>
      </c>
      <c r="I102" s="691">
        <v>43</v>
      </c>
      <c r="J102" s="691">
        <v>43</v>
      </c>
      <c r="K102" s="1558">
        <v>0</v>
      </c>
      <c r="L102" s="1558">
        <v>0</v>
      </c>
      <c r="M102" s="1558">
        <v>0</v>
      </c>
      <c r="N102" s="1558">
        <v>0</v>
      </c>
      <c r="O102" s="1558">
        <v>0</v>
      </c>
      <c r="P102" s="1558">
        <v>0</v>
      </c>
      <c r="Q102" s="1558">
        <v>0</v>
      </c>
      <c r="R102" s="1558">
        <v>0</v>
      </c>
      <c r="S102" s="1558">
        <v>0</v>
      </c>
      <c r="T102" s="1558">
        <v>0</v>
      </c>
      <c r="U102" s="441">
        <v>73</v>
      </c>
      <c r="V102" s="441">
        <v>3</v>
      </c>
      <c r="W102" s="441">
        <v>10</v>
      </c>
      <c r="X102" s="441">
        <v>10</v>
      </c>
      <c r="Y102" s="441">
        <v>10</v>
      </c>
      <c r="Z102" s="441">
        <v>10</v>
      </c>
      <c r="AA102" s="441">
        <v>10</v>
      </c>
      <c r="AB102" s="441">
        <v>10</v>
      </c>
      <c r="AC102" s="441">
        <v>10</v>
      </c>
      <c r="AD102" s="441">
        <v>10</v>
      </c>
      <c r="AE102" s="441">
        <v>10</v>
      </c>
      <c r="AF102" s="441">
        <v>10</v>
      </c>
      <c r="AG102" s="441">
        <v>10</v>
      </c>
      <c r="AH102" s="441">
        <v>23</v>
      </c>
    </row>
  </sheetData>
  <sheetProtection formatColumns="0" formatRows="0" insertRows="0" deleteColumns="0" deleteRows="0" sort="0" autoFilter="0"/>
  <mergeCells count="33">
    <mergeCell ref="D3:F3"/>
    <mergeCell ref="U7:U11"/>
    <mergeCell ref="G7:H7"/>
    <mergeCell ref="E7:F7"/>
    <mergeCell ref="E8:F8"/>
    <mergeCell ref="E9:F9"/>
    <mergeCell ref="G8:H8"/>
    <mergeCell ref="G9:H9"/>
    <mergeCell ref="D4:F4"/>
    <mergeCell ref="I7:J7"/>
    <mergeCell ref="I8:J8"/>
    <mergeCell ref="I9:J9"/>
    <mergeCell ref="D10:J10"/>
    <mergeCell ref="K7:L7"/>
    <mergeCell ref="K8:L8"/>
    <mergeCell ref="K9:L9"/>
    <mergeCell ref="A37:A63"/>
    <mergeCell ref="A65:A75"/>
    <mergeCell ref="A77:A100"/>
    <mergeCell ref="A13:A35"/>
    <mergeCell ref="A11:B11"/>
    <mergeCell ref="M7:N7"/>
    <mergeCell ref="M8:N8"/>
    <mergeCell ref="M9:N9"/>
    <mergeCell ref="O7:P7"/>
    <mergeCell ref="O8:P8"/>
    <mergeCell ref="O9:P9"/>
    <mergeCell ref="Q7:R7"/>
    <mergeCell ref="Q8:R8"/>
    <mergeCell ref="Q9:R9"/>
    <mergeCell ref="S7:T7"/>
    <mergeCell ref="S8:T8"/>
    <mergeCell ref="S9:T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Q19 S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Q31 Q42 Q43 Q60 Q69 Q70 Q72 Q95 S31 S42 S43 S60 S69 S70 S72 S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R31:R32 T31:T32 G62:G63 G74:G75 G97:G100 I62:I63 I74:I75 I97:I100 H13:H14 H19 J19 L19 N19 P19 R19 T19 J13:J14 L13:L14 N13:N14 P13:P14 R13:R14 T13:T14 K62 K63 K74 K75 K97 K98 K99 K100 M62 M63 M74 M75 M97 M98 M99 M100 O62 O63 O74 O75 O97 O98 O99 O100 Q62 Q63 Q74 Q75 Q97 Q98 Q99 Q100 S62 S63 S74 S75 S97 S98 S99 S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Q13 Q14 Q18 Q21 Q22 Q24 Q26 Q27 Q29 Q30 Q32 Q37 Q39 Q40 Q44 Q45 Q46 Q47 Q48 Q49 Q50 Q51 Q52 Q53 Q54 Q55 Q56 Q57 Q58 Q59 Q61 Q65 Q67 Q68 Q71 Q73 Q77 Q78 Q79 Q80 Q81 Q82 Q83 Q84 Q85 Q86 Q87 Q88 Q89 Q90 Q91 Q92 Q93 Q94 Q96 S13 S14 S18 S21 S22 S24 S26 S27 S29 S30 S32 S37 S39 S40 S44 S45 S46 S47 S48 S49 S50 S51 S52 S53 S54 S55 S56 S57 S58 S59 S61 S65 S67 S68 S71 S73 S77 S78 S79 S80 S81 S82 S83 S84 S85 S86 S87 S88 S89 S90 S91 S92 S93 S94 S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O16 O17 Q16 Q17 S16 S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P26:P27 R26:R27 T26:T27 J15:J18 L15:L18 N15:N18 P15:P18 R15:R18 T15:T18 J21:J22 L21:L22 N21:N22 P21:P22 R21:R22 T21:T22 J29:J30 L29:L30 N29:N30 P29:P30 R29:R30 T29:T30 J24 L24 N24 P24 R24 T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30"/>
  <sheetViews>
    <sheetView showGridLines="0" zoomScale="90" workbookViewId="0">
      <pane xSplit="4" ySplit="12" topLeftCell="E13" activePane="bottomRight" state="frozen"/>
      <selection pane="topRight" activeCell="E1" sqref="E1"/>
      <selection pane="bottomLeft" activeCell="A13" sqref="A13"/>
      <selection pane="bottomRight" activeCell="E13" sqref="E13:E17"/>
    </sheetView>
  </sheetViews>
  <sheetFormatPr defaultColWidth="9.140625" defaultRowHeight="11.25" customHeight="1"/>
  <cols>
    <col min="1" max="1" width="6.42578125" style="1770" hidden="1" customWidth="1"/>
    <col min="2" max="2" width="2" style="1770" hidden="1" customWidth="1"/>
    <col min="3" max="3" width="3" style="1770" customWidth="1"/>
    <col min="4" max="4" width="4" style="1770" customWidth="1"/>
    <col min="5" max="5" width="44" style="1770" customWidth="1"/>
    <col min="6" max="6" width="6.42578125" style="1770" customWidth="1"/>
    <col min="7" max="7" width="4" style="1770" customWidth="1"/>
    <col min="8" max="8" width="5" style="1770" customWidth="1"/>
    <col min="9" max="9" width="52" style="1770" customWidth="1"/>
    <col min="10" max="10" width="7" style="1770" customWidth="1"/>
    <col min="11" max="11" width="3" style="1770" customWidth="1"/>
    <col min="12" max="12" width="6" style="1770" customWidth="1"/>
    <col min="13" max="13" width="56" style="1770" customWidth="1"/>
    <col min="14" max="14" width="8" style="1293" customWidth="1"/>
    <col min="15" max="20" width="9.140625" style="1547" hidden="1"/>
    <col min="21" max="24" width="9.140625" style="1189" hidden="1"/>
    <col min="25" max="37" width="9.140625" style="1293" hidden="1"/>
    <col min="38" max="38" width="8" style="1293" customWidth="1"/>
    <col min="39" max="39" width="9.140625" style="1770" hidden="1"/>
  </cols>
  <sheetData>
    <row r="1" spans="1:39" ht="11.25" hidden="1" customHeight="1">
      <c r="AM1" s="519" t="s">
        <v>14</v>
      </c>
    </row>
    <row r="2" spans="1:39" ht="11.25" hidden="1" customHeight="1">
      <c r="AM2" s="519">
        <v>0</v>
      </c>
    </row>
    <row r="3" spans="1:39" ht="11.45" customHeight="1">
      <c r="AM3" s="519">
        <v>11</v>
      </c>
    </row>
    <row r="4" spans="1:39" ht="35.65" customHeight="1">
      <c r="A4" s="521"/>
      <c r="B4" s="521"/>
      <c r="D4" s="2382"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383"/>
      <c r="F4" s="2383"/>
      <c r="G4" s="2383"/>
      <c r="H4" s="2383"/>
      <c r="I4" s="2384"/>
      <c r="J4" s="520"/>
      <c r="K4" s="520"/>
      <c r="L4" s="520"/>
      <c r="M4" s="520"/>
      <c r="AM4" s="519">
        <v>34</v>
      </c>
    </row>
    <row r="5" spans="1:39" s="525" customFormat="1" ht="14.65" customHeight="1">
      <c r="A5" s="521"/>
      <c r="B5" s="521"/>
      <c r="C5" s="521"/>
      <c r="D5" s="2385" t="str">
        <f>IF(org=0,"Не определено",org)</f>
        <v>ПАО "ТГК-2"</v>
      </c>
      <c r="E5" s="2386"/>
      <c r="F5" s="2386"/>
      <c r="G5" s="2386"/>
      <c r="H5" s="2386"/>
      <c r="I5" s="2387"/>
      <c r="J5" s="522"/>
      <c r="K5" s="522"/>
      <c r="L5" s="522"/>
      <c r="M5" s="522"/>
      <c r="N5" s="522"/>
      <c r="O5" s="799"/>
      <c r="P5" s="799"/>
      <c r="Q5" s="799"/>
      <c r="R5" s="799"/>
      <c r="S5" s="799"/>
      <c r="T5" s="799"/>
      <c r="U5" s="1184"/>
      <c r="V5" s="1184"/>
      <c r="W5" s="1184"/>
      <c r="X5" s="1184"/>
      <c r="Y5" s="522"/>
      <c r="Z5" s="522"/>
      <c r="AA5" s="522"/>
      <c r="AB5" s="522"/>
      <c r="AC5" s="522"/>
      <c r="AD5" s="522"/>
      <c r="AE5" s="522"/>
      <c r="AF5" s="522"/>
      <c r="AG5" s="522"/>
      <c r="AH5" s="522"/>
      <c r="AI5" s="522"/>
      <c r="AJ5" s="522"/>
      <c r="AK5" s="522"/>
      <c r="AL5" s="522"/>
      <c r="AM5" s="523">
        <v>14</v>
      </c>
    </row>
    <row r="6" spans="1:39" s="525" customFormat="1" ht="6.4" customHeight="1">
      <c r="A6" s="2353"/>
      <c r="B6" s="2353"/>
      <c r="C6" s="2353"/>
      <c r="D6" s="2353"/>
      <c r="E6" s="2353"/>
      <c r="F6" s="2353"/>
      <c r="G6" s="524"/>
      <c r="H6" s="524"/>
      <c r="I6" s="524"/>
      <c r="J6" s="524"/>
      <c r="K6" s="524"/>
      <c r="N6" s="526"/>
      <c r="O6" s="1337"/>
      <c r="P6" s="1337"/>
      <c r="Q6" s="1337"/>
      <c r="R6" s="1337"/>
      <c r="S6" s="1337"/>
      <c r="T6" s="1337"/>
      <c r="U6" s="1187"/>
      <c r="V6" s="1187"/>
      <c r="W6" s="1187"/>
      <c r="X6" s="1187"/>
      <c r="Y6" s="526"/>
      <c r="Z6" s="526"/>
      <c r="AA6" s="526"/>
      <c r="AB6" s="526"/>
      <c r="AC6" s="526"/>
      <c r="AD6" s="526"/>
      <c r="AE6" s="526"/>
      <c r="AF6" s="526"/>
      <c r="AG6" s="526"/>
      <c r="AH6" s="526"/>
      <c r="AI6" s="526"/>
      <c r="AJ6" s="526"/>
      <c r="AK6" s="526"/>
      <c r="AL6" s="526"/>
      <c r="AM6" s="525">
        <v>6</v>
      </c>
    </row>
    <row r="7" spans="1:39" ht="45.75" hidden="1" customHeight="1">
      <c r="E7" s="239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392"/>
      <c r="G7" s="2392"/>
      <c r="H7" s="2392"/>
      <c r="I7" s="2392"/>
      <c r="J7" s="2392"/>
      <c r="K7" s="2392"/>
      <c r="L7" s="2392"/>
      <c r="M7" s="2392"/>
      <c r="AM7" s="519">
        <v>0</v>
      </c>
    </row>
    <row r="8" spans="1:39" s="525" customFormat="1" ht="6.4" customHeight="1">
      <c r="A8" s="527"/>
      <c r="B8" s="527"/>
      <c r="C8" s="527"/>
      <c r="D8" s="527"/>
      <c r="E8" s="527"/>
      <c r="F8" s="527"/>
      <c r="G8" s="527"/>
      <c r="H8" s="527"/>
      <c r="I8" s="527"/>
      <c r="J8" s="527"/>
      <c r="K8" s="527"/>
      <c r="L8" s="527"/>
      <c r="N8" s="522"/>
      <c r="O8" s="799"/>
      <c r="P8" s="799"/>
      <c r="Q8" s="799"/>
      <c r="R8" s="799"/>
      <c r="S8" s="799"/>
      <c r="T8" s="799"/>
      <c r="U8" s="1184"/>
      <c r="V8" s="1184"/>
      <c r="W8" s="1184"/>
      <c r="X8" s="1184"/>
      <c r="Y8" s="522"/>
      <c r="Z8" s="522"/>
      <c r="AA8" s="522"/>
      <c r="AB8" s="522"/>
      <c r="AC8" s="522"/>
      <c r="AD8" s="522"/>
      <c r="AE8" s="522"/>
      <c r="AF8" s="522"/>
      <c r="AG8" s="522"/>
      <c r="AH8" s="522"/>
      <c r="AI8" s="522"/>
      <c r="AJ8" s="522"/>
      <c r="AK8" s="522"/>
      <c r="AL8" s="522"/>
      <c r="AM8" s="523">
        <v>6</v>
      </c>
    </row>
    <row r="9" spans="1:39" ht="18.75" customHeight="1">
      <c r="A9" s="2388"/>
      <c r="B9" s="260"/>
      <c r="C9" s="260"/>
      <c r="D9" s="2371" t="s">
        <v>119</v>
      </c>
      <c r="E9" s="2371"/>
      <c r="F9" s="2389" t="s">
        <v>120</v>
      </c>
      <c r="G9" s="2390"/>
      <c r="H9" s="2390"/>
      <c r="I9" s="2390"/>
      <c r="J9" s="2393" t="s">
        <v>121</v>
      </c>
      <c r="K9" s="2393"/>
      <c r="L9" s="2393"/>
      <c r="M9" s="2393"/>
      <c r="AM9" s="519">
        <v>18</v>
      </c>
    </row>
    <row r="10" spans="1:39" ht="24" customHeight="1">
      <c r="A10" s="2388"/>
      <c r="B10" s="528"/>
      <c r="C10" s="461"/>
      <c r="D10" s="459" t="s">
        <v>89</v>
      </c>
      <c r="E10" s="459" t="s">
        <v>90</v>
      </c>
      <c r="F10" s="459" t="s">
        <v>122</v>
      </c>
      <c r="G10" s="2394" t="s">
        <v>89</v>
      </c>
      <c r="H10" s="2395"/>
      <c r="I10" s="459" t="s">
        <v>90</v>
      </c>
      <c r="J10" s="459" t="s">
        <v>122</v>
      </c>
      <c r="K10" s="2394" t="s">
        <v>89</v>
      </c>
      <c r="L10" s="2395"/>
      <c r="M10" s="459" t="s">
        <v>90</v>
      </c>
      <c r="N10" s="1550"/>
      <c r="AM10" s="519">
        <v>23</v>
      </c>
    </row>
    <row r="11" spans="1:39" s="1770" customFormat="1" ht="11.25" hidden="1" customHeight="1">
      <c r="A11" s="529"/>
      <c r="B11" s="529"/>
      <c r="C11" s="529"/>
      <c r="D11" s="530" t="s">
        <v>100</v>
      </c>
      <c r="E11" s="530" t="s">
        <v>103</v>
      </c>
      <c r="F11" s="530" t="s">
        <v>91</v>
      </c>
      <c r="G11" s="2378" t="s">
        <v>92</v>
      </c>
      <c r="H11" s="2379"/>
      <c r="I11" s="530" t="s">
        <v>123</v>
      </c>
      <c r="J11" s="530" t="s">
        <v>93</v>
      </c>
      <c r="K11" s="2380" t="s">
        <v>94</v>
      </c>
      <c r="L11" s="2381"/>
      <c r="M11" s="530" t="s">
        <v>124</v>
      </c>
      <c r="N11" s="1549"/>
      <c r="O11" s="1336"/>
      <c r="P11" s="1338"/>
      <c r="Q11" s="1338"/>
      <c r="R11" s="1338"/>
      <c r="S11" s="1338"/>
      <c r="T11" s="1338"/>
      <c r="U11" s="1188"/>
      <c r="V11" s="1188"/>
      <c r="W11" s="1188"/>
      <c r="X11" s="1188"/>
      <c r="Y11" s="531"/>
      <c r="Z11" s="531"/>
      <c r="AA11" s="531"/>
      <c r="AB11" s="531"/>
      <c r="AC11" s="531"/>
      <c r="AD11" s="531"/>
      <c r="AE11" s="531"/>
      <c r="AF11" s="531"/>
      <c r="AG11" s="531"/>
      <c r="AH11" s="531"/>
      <c r="AI11" s="531"/>
      <c r="AJ11" s="531"/>
      <c r="AK11" s="531"/>
      <c r="AL11" s="531"/>
      <c r="AM11" s="532">
        <v>0</v>
      </c>
    </row>
    <row r="12" spans="1:39" ht="1.1499999999999999" customHeight="1">
      <c r="A12" s="533"/>
      <c r="B12" s="534"/>
      <c r="C12" s="534"/>
      <c r="D12" s="535"/>
      <c r="E12" s="303"/>
      <c r="F12" s="536"/>
      <c r="G12" s="986"/>
      <c r="H12" s="986"/>
      <c r="I12" s="536"/>
      <c r="J12" s="536"/>
      <c r="K12" s="111"/>
      <c r="L12" s="303"/>
      <c r="M12" s="537"/>
      <c r="N12" s="1550"/>
      <c r="O12" s="1336" t="s">
        <v>125</v>
      </c>
      <c r="P12" s="1336" t="s">
        <v>126</v>
      </c>
      <c r="Q12" s="1336" t="s">
        <v>127</v>
      </c>
      <c r="R12" s="1336" t="s">
        <v>128</v>
      </c>
      <c r="AM12" s="519">
        <v>1</v>
      </c>
    </row>
    <row r="13" spans="1:39" s="1770" customFormat="1" ht="15.75" customHeight="1">
      <c r="A13" s="230"/>
      <c r="B13" s="230"/>
      <c r="C13" s="462"/>
      <c r="D13" s="2365" t="s">
        <v>100</v>
      </c>
      <c r="E13" s="2366" t="str">
        <f>INDEX(VD_NAME_LIST,MATCH("4190066",VD_ID_LIST,0))</f>
        <v>Производство тепловой энергии. Комбинированная выработка с уст. мощностью производства электрической энергии 25 МВт и более</v>
      </c>
      <c r="F13" s="2375" t="s">
        <v>63</v>
      </c>
      <c r="G13" s="2376"/>
      <c r="H13" s="2377">
        <v>1</v>
      </c>
      <c r="I13" s="2373" t="str">
        <f>IF(U13="","",INDEX(TERRITORY_MR_LIST,MATCH(U13,TERRITORY_LIST_ID,0)))</f>
        <v>Территория 1</v>
      </c>
      <c r="J13" s="2360" t="s">
        <v>19</v>
      </c>
      <c r="K13" s="538"/>
      <c r="L13" s="463" t="s">
        <v>100</v>
      </c>
      <c r="M13" s="539" t="s">
        <v>22</v>
      </c>
      <c r="N13" s="741"/>
      <c r="O13" s="1339" t="s">
        <v>129</v>
      </c>
      <c r="P13" s="1336" t="str">
        <f>$E$13</f>
        <v>Производство тепловой энергии. Комбинированная выработка с уст. мощностью производства электрической энергии 25 МВт и более</v>
      </c>
      <c r="Q13" s="1336" t="str">
        <f>IF($F$13="нет","без дифференциации",$I$13)</f>
        <v>Территория 1</v>
      </c>
      <c r="R13" s="1336" t="str">
        <f>IF($J$13="нет","без дифференциации",M13)</f>
        <v>без дифференциации</v>
      </c>
      <c r="S13" s="1339"/>
      <c r="T13" s="1339"/>
      <c r="U13" s="1189" t="s">
        <v>99</v>
      </c>
      <c r="V13" s="1189" t="s">
        <v>130</v>
      </c>
      <c r="W13" s="1189"/>
      <c r="X13" s="1189"/>
      <c r="Y13" s="540" t="s">
        <v>131</v>
      </c>
      <c r="Z13" s="540">
        <v>1705000</v>
      </c>
      <c r="AA13" s="540"/>
      <c r="AB13" s="540"/>
      <c r="AC13" s="540"/>
      <c r="AD13" s="540"/>
      <c r="AE13" s="540"/>
      <c r="AF13" s="540"/>
      <c r="AG13" s="540"/>
      <c r="AH13" s="540"/>
      <c r="AI13" s="540"/>
      <c r="AJ13" s="540"/>
      <c r="AK13" s="540"/>
      <c r="AL13" s="540"/>
      <c r="AM13" s="542">
        <v>15</v>
      </c>
    </row>
    <row r="14" spans="1:39" s="1770" customFormat="1" ht="15.75" customHeight="1">
      <c r="A14" s="230"/>
      <c r="B14" s="230"/>
      <c r="C14" s="113"/>
      <c r="D14" s="2365"/>
      <c r="E14" s="2367"/>
      <c r="F14" s="2360"/>
      <c r="G14" s="2376"/>
      <c r="H14" s="2377"/>
      <c r="I14" s="2374"/>
      <c r="J14" s="2360"/>
      <c r="K14" s="357"/>
      <c r="L14" s="114"/>
      <c r="M14" s="543" t="s">
        <v>132</v>
      </c>
      <c r="N14" s="741"/>
      <c r="O14" s="1339"/>
      <c r="P14" s="1336"/>
      <c r="Q14" s="1336"/>
      <c r="R14" s="1336"/>
      <c r="S14" s="1339"/>
      <c r="T14" s="1339"/>
      <c r="U14" s="1189"/>
      <c r="V14" s="1189"/>
      <c r="W14" s="1189"/>
      <c r="X14" s="1189"/>
      <c r="Y14" s="540"/>
      <c r="Z14" s="540"/>
      <c r="AA14" s="540"/>
      <c r="AB14" s="540"/>
      <c r="AC14" s="540"/>
      <c r="AD14" s="540"/>
      <c r="AE14" s="540"/>
      <c r="AF14" s="540"/>
      <c r="AG14" s="540"/>
      <c r="AH14" s="540"/>
      <c r="AI14" s="540"/>
      <c r="AJ14" s="540"/>
      <c r="AK14" s="540"/>
      <c r="AL14" s="540"/>
      <c r="AM14" s="542">
        <v>15</v>
      </c>
    </row>
    <row r="15" spans="1:39" ht="15" customHeight="1">
      <c r="A15" s="359"/>
      <c r="B15" s="359"/>
      <c r="C15" s="113"/>
      <c r="D15" s="2372"/>
      <c r="E15" s="2372"/>
      <c r="F15" s="2372"/>
      <c r="G15" s="2363" t="s">
        <v>104</v>
      </c>
      <c r="H15" s="2349" t="s">
        <v>103</v>
      </c>
      <c r="I15" s="2364" t="str">
        <f>IF(U15="","",INDEX(TERRITORY_MR_LIST,MATCH(U15,TERRITORY_LIST_ID,0)))</f>
        <v>Территория 2</v>
      </c>
      <c r="J15" s="2360" t="s">
        <v>19</v>
      </c>
      <c r="K15" s="761"/>
      <c r="L15" s="1702" t="s">
        <v>100</v>
      </c>
      <c r="M15" s="539"/>
      <c r="N15" s="540"/>
      <c r="O15" s="540" t="s">
        <v>133</v>
      </c>
      <c r="P15" s="540" t="str">
        <f>$E$13</f>
        <v>Производство тепловой энергии. Комбинированная выработка с уст. мощностью производства электрической энергии 25 МВт и более</v>
      </c>
      <c r="Q15" s="540" t="str">
        <f>IF($F$15="нет","без дифференциации",$I$15)</f>
        <v>Территория 2</v>
      </c>
      <c r="R15" s="540" t="str">
        <f>IF($J$15="нет","без дифференциации",$M$15)</f>
        <v>без дифференциации</v>
      </c>
      <c r="S15" s="540"/>
      <c r="T15" s="540"/>
      <c r="U15" s="541" t="s">
        <v>113</v>
      </c>
      <c r="V15" s="540"/>
      <c r="W15" s="540"/>
      <c r="X15" s="531"/>
      <c r="Y15" s="531" t="s">
        <v>131</v>
      </c>
      <c r="Z15" s="531">
        <v>1705000</v>
      </c>
      <c r="AA15" s="531"/>
      <c r="AB15" s="531"/>
      <c r="AC15" s="531"/>
      <c r="AD15" s="531"/>
      <c r="AE15" s="531"/>
      <c r="AF15" s="531"/>
      <c r="AG15" s="531"/>
      <c r="AH15" s="531"/>
      <c r="AI15" s="531"/>
      <c r="AJ15" s="531"/>
      <c r="AK15" s="531"/>
      <c r="AL15" s="531"/>
    </row>
    <row r="16" spans="1:39" ht="15" customHeight="1">
      <c r="A16" s="359"/>
      <c r="B16" s="359"/>
      <c r="C16" s="113"/>
      <c r="D16" s="2372"/>
      <c r="E16" s="2372"/>
      <c r="F16" s="2372"/>
      <c r="G16" s="2363"/>
      <c r="H16" s="2349"/>
      <c r="I16" s="2364"/>
      <c r="J16" s="2360"/>
      <c r="K16" s="357"/>
      <c r="L16" s="114"/>
      <c r="M16" s="543" t="s">
        <v>132</v>
      </c>
      <c r="N16" s="540"/>
      <c r="O16" s="540"/>
      <c r="P16" s="540"/>
      <c r="Q16" s="540"/>
      <c r="R16" s="540"/>
      <c r="S16" s="540"/>
      <c r="T16" s="540"/>
      <c r="U16" s="541"/>
      <c r="V16" s="540"/>
      <c r="W16" s="540"/>
      <c r="X16" s="531"/>
      <c r="Y16" s="531"/>
      <c r="Z16" s="531"/>
      <c r="AA16" s="531"/>
      <c r="AB16" s="531"/>
      <c r="AC16" s="531"/>
      <c r="AD16" s="531"/>
      <c r="AE16" s="531"/>
      <c r="AF16" s="531"/>
      <c r="AG16" s="531"/>
      <c r="AH16" s="531"/>
      <c r="AI16" s="531"/>
      <c r="AJ16" s="531"/>
      <c r="AK16" s="531"/>
      <c r="AL16" s="531"/>
    </row>
    <row r="17" spans="1:39" s="1770" customFormat="1" ht="15.75" customHeight="1">
      <c r="A17" s="230"/>
      <c r="B17" s="230"/>
      <c r="C17" s="113"/>
      <c r="D17" s="2365"/>
      <c r="E17" s="2368"/>
      <c r="F17" s="2360"/>
      <c r="G17" s="987"/>
      <c r="H17" s="988"/>
      <c r="I17" s="516" t="s">
        <v>134</v>
      </c>
      <c r="J17" s="114"/>
      <c r="K17" s="114"/>
      <c r="L17" s="114"/>
      <c r="M17" s="544"/>
      <c r="N17" s="741"/>
      <c r="O17" s="1339"/>
      <c r="P17" s="1336"/>
      <c r="Q17" s="1336"/>
      <c r="R17" s="1336"/>
      <c r="S17" s="1339"/>
      <c r="T17" s="1339"/>
      <c r="U17" s="1189"/>
      <c r="V17" s="1189"/>
      <c r="W17" s="1189"/>
      <c r="X17" s="1189"/>
      <c r="Y17" s="540"/>
      <c r="Z17" s="540"/>
      <c r="AA17" s="540"/>
      <c r="AB17" s="540"/>
      <c r="AC17" s="540"/>
      <c r="AD17" s="540"/>
      <c r="AE17" s="540"/>
      <c r="AF17" s="540"/>
      <c r="AG17" s="540"/>
      <c r="AH17" s="540"/>
      <c r="AI17" s="540"/>
      <c r="AJ17" s="540"/>
      <c r="AK17" s="540"/>
      <c r="AL17" s="540"/>
      <c r="AM17" s="542">
        <v>15</v>
      </c>
    </row>
    <row r="18" spans="1:39" ht="15" customHeight="1">
      <c r="A18" s="359"/>
      <c r="B18" s="359"/>
      <c r="C18" s="2361" t="s">
        <v>104</v>
      </c>
      <c r="D18" s="2365" t="s">
        <v>103</v>
      </c>
      <c r="E18" s="2366" t="str">
        <f>INDEX(VD_NAME_LIST,MATCH("4190064",VD_ID_LIST,0))</f>
        <v>Производство тепловой энергии. Некомбинированная выработка</v>
      </c>
      <c r="F18" s="2360" t="s">
        <v>63</v>
      </c>
      <c r="G18" s="2369"/>
      <c r="H18" s="2371">
        <v>1</v>
      </c>
      <c r="I18" s="2358" t="str">
        <f>IF($U$18="","",INDEX(TERRITORY_MR_LIST,MATCH($U$18,TERRITORY_LIST_ID,0)))</f>
        <v>Территория 1</v>
      </c>
      <c r="J18" s="2360" t="s">
        <v>19</v>
      </c>
      <c r="K18" s="761"/>
      <c r="L18" s="1702" t="s">
        <v>100</v>
      </c>
      <c r="M18" s="539"/>
      <c r="N18" s="540"/>
      <c r="O18" s="540" t="s">
        <v>135</v>
      </c>
      <c r="P18" s="540" t="str">
        <f>$E$18</f>
        <v>Производство тепловой энергии. Некомбинированная выработка</v>
      </c>
      <c r="Q18" s="540" t="str">
        <f>IF($F$18="нет","без дифференциации",$I$18)</f>
        <v>Территория 1</v>
      </c>
      <c r="R18" s="540" t="str">
        <f>IF($J$18="нет","без дифференциации",$M$18)</f>
        <v>без дифференциации</v>
      </c>
      <c r="S18" s="540"/>
      <c r="T18" s="540"/>
      <c r="U18" s="541" t="s">
        <v>99</v>
      </c>
      <c r="V18" s="540" t="s">
        <v>136</v>
      </c>
      <c r="W18" s="540"/>
      <c r="X18" s="531"/>
      <c r="Y18" s="531" t="s">
        <v>131</v>
      </c>
      <c r="Z18" s="531">
        <v>1705000</v>
      </c>
      <c r="AA18" s="531"/>
      <c r="AB18" s="531"/>
      <c r="AC18" s="531"/>
      <c r="AD18" s="531"/>
      <c r="AE18" s="531"/>
      <c r="AF18" s="531"/>
      <c r="AG18" s="531"/>
      <c r="AH18" s="531"/>
      <c r="AI18" s="531"/>
      <c r="AJ18" s="531"/>
      <c r="AK18" s="531"/>
      <c r="AL18" s="531"/>
    </row>
    <row r="19" spans="1:39" ht="15" customHeight="1">
      <c r="A19" s="359"/>
      <c r="B19" s="359"/>
      <c r="C19" s="2362"/>
      <c r="D19" s="2365"/>
      <c r="E19" s="2367"/>
      <c r="F19" s="2360"/>
      <c r="G19" s="2370"/>
      <c r="H19" s="2371"/>
      <c r="I19" s="2359" t="str">
        <f>IF($U$18="","",INDEX(TERRITORY_MR_LIST,MATCH($U$18,TERRITORY_LIST_ID,0)))</f>
        <v>Территория 1</v>
      </c>
      <c r="J19" s="2360"/>
      <c r="K19" s="357"/>
      <c r="L19" s="114"/>
      <c r="M19" s="543" t="s">
        <v>132</v>
      </c>
      <c r="N19" s="540"/>
      <c r="O19" s="540"/>
      <c r="P19" s="540"/>
      <c r="Q19" s="540"/>
      <c r="R19" s="540"/>
      <c r="S19" s="540"/>
      <c r="T19" s="540"/>
      <c r="U19" s="541"/>
      <c r="V19" s="540"/>
      <c r="W19" s="540"/>
      <c r="X19" s="531"/>
      <c r="Y19" s="531"/>
      <c r="Z19" s="531"/>
      <c r="AA19" s="531"/>
      <c r="AB19" s="531"/>
      <c r="AC19" s="531"/>
      <c r="AD19" s="531"/>
      <c r="AE19" s="531"/>
      <c r="AF19" s="531"/>
      <c r="AG19" s="531"/>
      <c r="AH19" s="531"/>
      <c r="AI19" s="531"/>
      <c r="AJ19" s="531"/>
      <c r="AK19" s="531"/>
      <c r="AL19" s="531"/>
    </row>
    <row r="20" spans="1:39" ht="15" customHeight="1">
      <c r="A20" s="359"/>
      <c r="B20" s="359"/>
      <c r="C20" s="2362"/>
      <c r="D20" s="2365"/>
      <c r="E20" s="2368"/>
      <c r="F20" s="2360"/>
      <c r="G20" s="357"/>
      <c r="H20" s="114"/>
      <c r="I20" s="516" t="s">
        <v>134</v>
      </c>
      <c r="J20" s="114"/>
      <c r="K20" s="114"/>
      <c r="L20" s="114"/>
      <c r="M20" s="544"/>
      <c r="N20" s="540"/>
      <c r="O20" s="540"/>
      <c r="P20" s="540"/>
      <c r="Q20" s="540"/>
      <c r="R20" s="540"/>
      <c r="S20" s="540"/>
      <c r="T20" s="540"/>
      <c r="U20" s="541"/>
      <c r="V20" s="540"/>
      <c r="W20" s="540"/>
      <c r="X20" s="531"/>
      <c r="Y20" s="531"/>
      <c r="Z20" s="531"/>
      <c r="AA20" s="531"/>
      <c r="AB20" s="531"/>
      <c r="AC20" s="531"/>
      <c r="AD20" s="531"/>
      <c r="AE20" s="531"/>
      <c r="AF20" s="531"/>
      <c r="AG20" s="531"/>
      <c r="AH20" s="531"/>
      <c r="AI20" s="531"/>
      <c r="AJ20" s="531"/>
      <c r="AK20" s="531"/>
      <c r="AL20" s="531"/>
    </row>
    <row r="21" spans="1:39" ht="15" customHeight="1">
      <c r="A21" s="359"/>
      <c r="B21" s="359"/>
      <c r="C21" s="2361" t="s">
        <v>104</v>
      </c>
      <c r="D21" s="2365" t="s">
        <v>91</v>
      </c>
      <c r="E21" s="2366" t="str">
        <f>INDEX(VD_NAME_LIST,MATCH("4190068",VD_ID_LIST,0))&amp;"; "&amp;INDEX(VD_NAME_LIST,MATCH("4190070",VD_ID_LIST,0))</f>
        <v>Передача. Тепловая энергия; Сбыт. Тепловая энергия</v>
      </c>
      <c r="F21" s="2360" t="s">
        <v>63</v>
      </c>
      <c r="G21" s="2369"/>
      <c r="H21" s="2371">
        <v>1</v>
      </c>
      <c r="I21" s="2358" t="str">
        <f>IF($U$21="","",INDEX(TERRITORY_MR_LIST,MATCH($U$21,TERRITORY_LIST_ID,0)))</f>
        <v>Территория 1</v>
      </c>
      <c r="J21" s="2360" t="s">
        <v>19</v>
      </c>
      <c r="K21" s="761"/>
      <c r="L21" s="1702" t="s">
        <v>100</v>
      </c>
      <c r="M21" s="539"/>
      <c r="N21" s="540"/>
      <c r="O21" s="540" t="s">
        <v>137</v>
      </c>
      <c r="P21" s="540" t="str">
        <f>$E$21</f>
        <v>Передача. Тепловая энергия; Сбыт. Тепловая энергия</v>
      </c>
      <c r="Q21" s="540" t="str">
        <f>IF($F$21="нет","без дифференциации",$I$21)</f>
        <v>Территория 1</v>
      </c>
      <c r="R21" s="540" t="str">
        <f>IF($J$21="нет","без дифференциации",$M$21)</f>
        <v>без дифференциации</v>
      </c>
      <c r="S21" s="540"/>
      <c r="T21" s="540"/>
      <c r="U21" s="541" t="s">
        <v>99</v>
      </c>
      <c r="V21" s="540" t="s">
        <v>138</v>
      </c>
      <c r="W21" s="540"/>
      <c r="X21" s="531"/>
      <c r="Y21" s="531" t="s">
        <v>131</v>
      </c>
      <c r="Z21" s="531">
        <v>1705000</v>
      </c>
      <c r="AA21" s="531"/>
      <c r="AB21" s="531"/>
      <c r="AC21" s="531"/>
      <c r="AD21" s="531"/>
      <c r="AE21" s="531"/>
      <c r="AF21" s="531"/>
      <c r="AG21" s="531"/>
      <c r="AH21" s="531"/>
      <c r="AI21" s="531"/>
      <c r="AJ21" s="531"/>
      <c r="AK21" s="531"/>
      <c r="AL21" s="531"/>
    </row>
    <row r="22" spans="1:39" ht="15" customHeight="1">
      <c r="A22" s="359"/>
      <c r="B22" s="359"/>
      <c r="C22" s="2362"/>
      <c r="D22" s="2365"/>
      <c r="E22" s="2367"/>
      <c r="F22" s="2360"/>
      <c r="G22" s="2370"/>
      <c r="H22" s="2371"/>
      <c r="I22" s="2359" t="str">
        <f>IF($U$21="","",INDEX(TERRITORY_MR_LIST,MATCH($U$21,TERRITORY_LIST_ID,0)))</f>
        <v>Территория 1</v>
      </c>
      <c r="J22" s="2360"/>
      <c r="K22" s="357"/>
      <c r="L22" s="114"/>
      <c r="M22" s="543" t="s">
        <v>132</v>
      </c>
      <c r="N22" s="540"/>
      <c r="O22" s="540"/>
      <c r="P22" s="540"/>
      <c r="Q22" s="540"/>
      <c r="R22" s="540"/>
      <c r="S22" s="540"/>
      <c r="T22" s="540"/>
      <c r="U22" s="541"/>
      <c r="V22" s="540"/>
      <c r="W22" s="540"/>
      <c r="X22" s="531"/>
      <c r="Y22" s="531"/>
      <c r="Z22" s="531"/>
      <c r="AA22" s="531"/>
      <c r="AB22" s="531"/>
      <c r="AC22" s="531"/>
      <c r="AD22" s="531"/>
      <c r="AE22" s="531"/>
      <c r="AF22" s="531"/>
      <c r="AG22" s="531"/>
      <c r="AH22" s="531"/>
      <c r="AI22" s="531"/>
      <c r="AJ22" s="531"/>
      <c r="AK22" s="531"/>
      <c r="AL22" s="531"/>
    </row>
    <row r="23" spans="1:39" ht="15" customHeight="1">
      <c r="A23" s="359"/>
      <c r="B23" s="359"/>
      <c r="C23" s="2362"/>
      <c r="D23" s="2372"/>
      <c r="E23" s="2372"/>
      <c r="F23" s="2372"/>
      <c r="G23" s="2363" t="s">
        <v>104</v>
      </c>
      <c r="H23" s="2349" t="s">
        <v>103</v>
      </c>
      <c r="I23" s="2364" t="str">
        <f>IF(U23="","",INDEX(TERRITORY_MR_LIST,MATCH(U23,TERRITORY_LIST_ID,0)))</f>
        <v>Территория 2</v>
      </c>
      <c r="J23" s="2360" t="s">
        <v>19</v>
      </c>
      <c r="K23" s="761"/>
      <c r="L23" s="1702" t="s">
        <v>100</v>
      </c>
      <c r="M23" s="539"/>
      <c r="N23" s="540"/>
      <c r="O23" s="540" t="s">
        <v>139</v>
      </c>
      <c r="P23" s="540" t="str">
        <f>$E$21</f>
        <v>Передача. Тепловая энергия; Сбыт. Тепловая энергия</v>
      </c>
      <c r="Q23" s="540" t="str">
        <f>IF($F$23="нет","без дифференциации",$I$23)</f>
        <v>Территория 2</v>
      </c>
      <c r="R23" s="540" t="str">
        <f>IF($J$23="нет","без дифференциации",$M$23)</f>
        <v>без дифференциации</v>
      </c>
      <c r="S23" s="540"/>
      <c r="T23" s="540"/>
      <c r="U23" s="541" t="s">
        <v>113</v>
      </c>
      <c r="V23" s="540"/>
      <c r="W23" s="540"/>
      <c r="X23" s="531"/>
      <c r="Y23" s="531" t="s">
        <v>131</v>
      </c>
      <c r="Z23" s="531">
        <v>1705000</v>
      </c>
      <c r="AA23" s="531"/>
      <c r="AB23" s="531"/>
      <c r="AC23" s="531"/>
      <c r="AD23" s="531"/>
      <c r="AE23" s="531"/>
      <c r="AF23" s="531"/>
      <c r="AG23" s="531"/>
      <c r="AH23" s="531"/>
      <c r="AI23" s="531"/>
      <c r="AJ23" s="531"/>
      <c r="AK23" s="531"/>
      <c r="AL23" s="531"/>
    </row>
    <row r="24" spans="1:39" ht="15" customHeight="1">
      <c r="A24" s="359"/>
      <c r="B24" s="359"/>
      <c r="C24" s="2362"/>
      <c r="D24" s="2372"/>
      <c r="E24" s="2372"/>
      <c r="F24" s="2372"/>
      <c r="G24" s="2363"/>
      <c r="H24" s="2349"/>
      <c r="I24" s="2364"/>
      <c r="J24" s="2360"/>
      <c r="K24" s="357"/>
      <c r="L24" s="114"/>
      <c r="M24" s="543" t="s">
        <v>132</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39" ht="15" customHeight="1">
      <c r="A25" s="359"/>
      <c r="B25" s="359"/>
      <c r="C25" s="2362"/>
      <c r="D25" s="2365"/>
      <c r="E25" s="2368"/>
      <c r="F25" s="2360"/>
      <c r="G25" s="357"/>
      <c r="H25" s="114"/>
      <c r="I25" s="516" t="s">
        <v>134</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39" ht="15" customHeight="1">
      <c r="A26" s="359"/>
      <c r="B26" s="359"/>
      <c r="C26" s="2361" t="s">
        <v>104</v>
      </c>
      <c r="D26" s="2365" t="s">
        <v>92</v>
      </c>
      <c r="E26" s="2366" t="str">
        <f>INDEX(VD_NAME_LIST,MATCH("4190067",VD_ID_LIST,0))&amp;"; "&amp;INDEX(VD_NAME_LIST,MATCH("4190071",VD_ID_LIST,0))</f>
        <v>Производство. Теплоноситель; Сбыт. Теплоноситель</v>
      </c>
      <c r="F26" s="2360" t="s">
        <v>63</v>
      </c>
      <c r="G26" s="2369"/>
      <c r="H26" s="2371">
        <v>1</v>
      </c>
      <c r="I26" s="2358" t="str">
        <f>IF($U$26="","",INDEX(TERRITORY_MR_LIST,MATCH($U$26,TERRITORY_LIST_ID,0)))</f>
        <v>Территория 2</v>
      </c>
      <c r="J26" s="2360" t="s">
        <v>19</v>
      </c>
      <c r="K26" s="761"/>
      <c r="L26" s="1702" t="s">
        <v>100</v>
      </c>
      <c r="M26" s="539"/>
      <c r="N26" s="540"/>
      <c r="O26" s="540" t="s">
        <v>140</v>
      </c>
      <c r="P26" s="540" t="str">
        <f>$E$26</f>
        <v>Производство. Теплоноситель; Сбыт. Теплоноситель</v>
      </c>
      <c r="Q26" s="540" t="str">
        <f>IF($F$26="нет","без дифференциации",$I$26)</f>
        <v>Территория 2</v>
      </c>
      <c r="R26" s="540" t="str">
        <f>IF($J$26="нет","без дифференциации",$M$26)</f>
        <v>без дифференциации</v>
      </c>
      <c r="S26" s="540"/>
      <c r="T26" s="540"/>
      <c r="U26" s="541" t="s">
        <v>113</v>
      </c>
      <c r="V26" s="540" t="s">
        <v>141</v>
      </c>
      <c r="W26" s="540"/>
      <c r="X26" s="531"/>
      <c r="Y26" s="531" t="s">
        <v>131</v>
      </c>
      <c r="Z26" s="531">
        <v>1705000</v>
      </c>
      <c r="AA26" s="531"/>
      <c r="AB26" s="531"/>
      <c r="AC26" s="531"/>
      <c r="AD26" s="531"/>
      <c r="AE26" s="531"/>
      <c r="AF26" s="531"/>
      <c r="AG26" s="531"/>
      <c r="AH26" s="531"/>
      <c r="AI26" s="531"/>
      <c r="AJ26" s="531"/>
      <c r="AK26" s="531"/>
      <c r="AL26" s="531"/>
    </row>
    <row r="27" spans="1:39" ht="15" customHeight="1">
      <c r="A27" s="359"/>
      <c r="B27" s="359"/>
      <c r="C27" s="2362"/>
      <c r="D27" s="2365"/>
      <c r="E27" s="2367"/>
      <c r="F27" s="2360"/>
      <c r="G27" s="2370"/>
      <c r="H27" s="2371"/>
      <c r="I27" s="2359" t="str">
        <f>IF($U$26="","",INDEX(TERRITORY_MR_LIST,MATCH($U$26,TERRITORY_LIST_ID,0)))</f>
        <v>Территория 2</v>
      </c>
      <c r="J27" s="2360"/>
      <c r="K27" s="357"/>
      <c r="L27" s="114"/>
      <c r="M27" s="543" t="s">
        <v>132</v>
      </c>
      <c r="N27" s="540"/>
      <c r="O27" s="540"/>
      <c r="P27" s="540"/>
      <c r="Q27" s="540"/>
      <c r="R27" s="540"/>
      <c r="S27" s="540"/>
      <c r="T27" s="540"/>
      <c r="U27" s="541"/>
      <c r="V27" s="540"/>
      <c r="W27" s="540"/>
      <c r="X27" s="531"/>
      <c r="Y27" s="531"/>
      <c r="Z27" s="531"/>
      <c r="AA27" s="531"/>
      <c r="AB27" s="531"/>
      <c r="AC27" s="531"/>
      <c r="AD27" s="531"/>
      <c r="AE27" s="531"/>
      <c r="AF27" s="531"/>
      <c r="AG27" s="531"/>
      <c r="AH27" s="531"/>
      <c r="AI27" s="531"/>
      <c r="AJ27" s="531"/>
      <c r="AK27" s="531"/>
      <c r="AL27" s="531"/>
    </row>
    <row r="28" spans="1:39" ht="15" customHeight="1">
      <c r="A28" s="359"/>
      <c r="B28" s="359"/>
      <c r="C28" s="2362"/>
      <c r="D28" s="2365"/>
      <c r="E28" s="2368"/>
      <c r="F28" s="2360"/>
      <c r="G28" s="357"/>
      <c r="H28" s="114"/>
      <c r="I28" s="516" t="s">
        <v>134</v>
      </c>
      <c r="J28" s="114"/>
      <c r="K28" s="114"/>
      <c r="L28" s="114"/>
      <c r="M28" s="544"/>
      <c r="N28" s="540"/>
      <c r="O28" s="540"/>
      <c r="P28" s="540"/>
      <c r="Q28" s="540"/>
      <c r="R28" s="540"/>
      <c r="S28" s="540"/>
      <c r="T28" s="540"/>
      <c r="U28" s="541"/>
      <c r="V28" s="540"/>
      <c r="W28" s="540"/>
      <c r="X28" s="531"/>
      <c r="Y28" s="531"/>
      <c r="Z28" s="531"/>
      <c r="AA28" s="531"/>
      <c r="AB28" s="531"/>
      <c r="AC28" s="531"/>
      <c r="AD28" s="531"/>
      <c r="AE28" s="531"/>
      <c r="AF28" s="531"/>
      <c r="AG28" s="531"/>
      <c r="AH28" s="531"/>
      <c r="AI28" s="531"/>
      <c r="AJ28" s="531"/>
      <c r="AK28" s="531"/>
      <c r="AL28" s="531"/>
    </row>
    <row r="29" spans="1:39" ht="15.75" customHeight="1">
      <c r="A29" s="545"/>
      <c r="B29" s="73"/>
      <c r="C29" s="735"/>
      <c r="D29" s="357"/>
      <c r="E29" s="507" t="s">
        <v>142</v>
      </c>
      <c r="F29" s="114"/>
      <c r="G29" s="114"/>
      <c r="H29" s="114"/>
      <c r="I29" s="114"/>
      <c r="J29" s="114"/>
      <c r="K29" s="114" t="s">
        <v>22</v>
      </c>
      <c r="L29" s="114"/>
      <c r="M29" s="544"/>
      <c r="N29" s="1550"/>
      <c r="AM29" s="519">
        <v>15</v>
      </c>
    </row>
    <row r="30" spans="1:39" ht="11.25" hidden="1" customHeight="1">
      <c r="A30" s="519" t="s">
        <v>83</v>
      </c>
      <c r="B30" s="519">
        <v>0</v>
      </c>
      <c r="C30" s="519">
        <v>3</v>
      </c>
      <c r="D30" s="519">
        <v>4</v>
      </c>
      <c r="E30" s="519">
        <v>44</v>
      </c>
      <c r="F30" s="519">
        <v>6</v>
      </c>
      <c r="G30" s="519">
        <v>4</v>
      </c>
      <c r="H30" s="519">
        <v>5</v>
      </c>
      <c r="I30" s="519">
        <v>52</v>
      </c>
      <c r="J30" s="519">
        <v>6</v>
      </c>
      <c r="K30" s="519">
        <v>3</v>
      </c>
      <c r="L30" s="519">
        <v>6</v>
      </c>
      <c r="M30" s="519">
        <v>56</v>
      </c>
      <c r="N30" s="520">
        <v>8</v>
      </c>
      <c r="O30" s="1336">
        <v>0</v>
      </c>
      <c r="P30" s="1336">
        <v>0</v>
      </c>
      <c r="Q30" s="1336">
        <v>0</v>
      </c>
      <c r="R30" s="1336">
        <v>0</v>
      </c>
      <c r="S30" s="1336">
        <v>0</v>
      </c>
      <c r="T30" s="1336">
        <v>0</v>
      </c>
      <c r="U30" s="1186">
        <v>0</v>
      </c>
      <c r="V30" s="1186">
        <v>0</v>
      </c>
      <c r="W30" s="1186">
        <v>0</v>
      </c>
      <c r="X30" s="1186">
        <v>0</v>
      </c>
      <c r="Y30" s="520">
        <v>0</v>
      </c>
      <c r="Z30" s="520">
        <v>0</v>
      </c>
      <c r="AA30" s="520">
        <v>0</v>
      </c>
      <c r="AB30" s="520">
        <v>0</v>
      </c>
      <c r="AC30" s="520">
        <v>0</v>
      </c>
      <c r="AD30" s="520">
        <v>0</v>
      </c>
      <c r="AE30" s="520">
        <v>0</v>
      </c>
      <c r="AF30" s="520">
        <v>0</v>
      </c>
      <c r="AG30" s="520">
        <v>0</v>
      </c>
      <c r="AH30" s="520">
        <v>0</v>
      </c>
      <c r="AI30" s="520">
        <v>0</v>
      </c>
      <c r="AJ30" s="520">
        <v>0</v>
      </c>
      <c r="AK30" s="520">
        <v>0</v>
      </c>
      <c r="AL30" s="520">
        <v>8</v>
      </c>
      <c r="AM30" s="519">
        <v>11</v>
      </c>
    </row>
  </sheetData>
  <sheetProtection formatColumns="0" formatRows="0" insertRows="0" deleteColumns="0" deleteRows="0" sort="0" autoFilter="0"/>
  <mergeCells count="51">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7"/>
    <mergeCell ref="E13:E17"/>
    <mergeCell ref="F13:F17"/>
    <mergeCell ref="G13:G14"/>
    <mergeCell ref="H13:H14"/>
    <mergeCell ref="G15:G16"/>
    <mergeCell ref="H15:H16"/>
    <mergeCell ref="I15:I16"/>
    <mergeCell ref="J15:J16"/>
    <mergeCell ref="I18:I19"/>
    <mergeCell ref="J18:J19"/>
    <mergeCell ref="C18:C20"/>
    <mergeCell ref="D21:D25"/>
    <mergeCell ref="E21:E25"/>
    <mergeCell ref="F21:F25"/>
    <mergeCell ref="G21:G22"/>
    <mergeCell ref="H21:H22"/>
    <mergeCell ref="I21:I22"/>
    <mergeCell ref="J21:J22"/>
    <mergeCell ref="C21:C25"/>
    <mergeCell ref="D18:D20"/>
    <mergeCell ref="E18:E20"/>
    <mergeCell ref="F18:F20"/>
    <mergeCell ref="G18:G19"/>
    <mergeCell ref="H18:H19"/>
    <mergeCell ref="I26:I27"/>
    <mergeCell ref="J26:J27"/>
    <mergeCell ref="C26:C28"/>
    <mergeCell ref="G23:G24"/>
    <mergeCell ref="H23:H24"/>
    <mergeCell ref="I23:I24"/>
    <mergeCell ref="J23:J24"/>
    <mergeCell ref="D26:D28"/>
    <mergeCell ref="E26:E28"/>
    <mergeCell ref="F26:F28"/>
    <mergeCell ref="G26:G27"/>
    <mergeCell ref="H26:H27"/>
  </mergeCells>
  <dataValidations count="6">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8">
      <formula1>900</formula1>
    </dataValidation>
    <dataValidation type="textLength" operator="lessThan" allowBlank="1" showInputMessage="1" showErrorMessage="1" error="Допускается ввод не более 900 символов!" sqref="M21">
      <formula1>900</formula1>
    </dataValidation>
    <dataValidation type="textLength" operator="lessThan" allowBlank="1" showInputMessage="1" showErrorMessage="1" error="Допускается ввод не более 900 символов!" sqref="M26">
      <formula1>900</formula1>
    </dataValidation>
    <dataValidation type="textLength" operator="lessThan" allowBlank="1" showInputMessage="1" showErrorMessage="1" error="Допускается ввод не более 900 символов!" sqref="M23">
      <formula1>900</formula1>
    </dataValidation>
    <dataValidation type="textLength" operator="lessThan" allowBlank="1" showInputMessage="1" showErrorMessage="1" error="Допускается ввод не более 900 символов!" sqref="M15">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AF40"/>
  <sheetViews>
    <sheetView showGridLines="0" zoomScale="90" workbookViewId="0">
      <pane xSplit="8" ySplit="31" topLeftCell="S32" activePane="bottomRight" state="frozen"/>
      <selection pane="topRight" activeCell="I1" sqref="I1"/>
      <selection pane="bottomLeft" activeCell="A32" sqref="A32"/>
      <selection pane="bottomRight" activeCell="S25" sqref="S25"/>
    </sheetView>
  </sheetViews>
  <sheetFormatPr defaultColWidth="10.5703125" defaultRowHeight="15" customHeight="1"/>
  <cols>
    <col min="1" max="1" width="9.140625" style="1555" hidden="1" customWidth="1"/>
    <col min="2" max="2" width="9.140625" style="1558" hidden="1" customWidth="1"/>
    <col min="3" max="3" width="4" style="619" customWidth="1"/>
    <col min="4" max="4" width="6" style="1558" customWidth="1"/>
    <col min="5" max="5" width="36" style="1558" customWidth="1"/>
    <col min="6" max="6" width="9" style="1558" customWidth="1"/>
    <col min="7" max="7" width="25.7109375" style="1558" hidden="1" customWidth="1"/>
    <col min="8" max="8" width="33.7109375" style="1558" hidden="1" customWidth="1"/>
    <col min="9" max="9" width="25.7109375" style="1558" customWidth="1"/>
    <col min="10" max="10" width="33" style="1558" customWidth="1"/>
    <col min="11" max="11" width="25.7109375" style="1558" customWidth="1"/>
    <col min="12" max="12" width="33.7109375" style="1558" customWidth="1"/>
    <col min="13" max="13" width="25.7109375" style="1558" customWidth="1"/>
    <col min="14" max="14" width="33.7109375" style="1558" customWidth="1"/>
    <col min="15" max="15" width="25.7109375" style="1558" customWidth="1"/>
    <col min="16" max="16" width="33.7109375" style="1558" customWidth="1"/>
    <col min="17" max="17" width="25.7109375" style="1558" customWidth="1"/>
    <col min="18" max="18" width="33.7109375" style="1558" customWidth="1"/>
    <col min="19" max="19" width="25.7109375" style="1558" customWidth="1"/>
    <col min="20" max="20" width="33.7109375" style="1558" customWidth="1"/>
    <col min="21" max="21" width="93" style="1289" customWidth="1"/>
    <col min="22" max="30" width="10" style="1558" customWidth="1"/>
    <col min="31" max="31" width="10" style="611" customWidth="1"/>
    <col min="32" max="32" width="10.5703125" style="1558" hidden="1"/>
  </cols>
  <sheetData>
    <row r="1" spans="1:32" s="1289" customFormat="1" ht="22.5" hidden="1" customHeight="1">
      <c r="C1" s="608"/>
      <c r="G1" s="353">
        <v>4</v>
      </c>
      <c r="I1" s="353">
        <v>4</v>
      </c>
      <c r="K1" s="1289">
        <v>4</v>
      </c>
      <c r="M1" s="1289">
        <v>4</v>
      </c>
      <c r="O1" s="1289">
        <v>4</v>
      </c>
      <c r="Q1" s="1289" t="s">
        <v>91</v>
      </c>
      <c r="S1" s="1289">
        <v>4</v>
      </c>
      <c r="AE1" s="356"/>
      <c r="AF1" s="353" t="s">
        <v>14</v>
      </c>
    </row>
    <row r="2" spans="1:32" s="1289" customFormat="1" ht="15" hidden="1" customHeight="1">
      <c r="C2" s="608"/>
      <c r="AE2" s="356"/>
      <c r="AF2" s="353">
        <v>0</v>
      </c>
    </row>
    <row r="3" spans="1:32" ht="22.5" hidden="1" customHeight="1">
      <c r="A3" s="441"/>
      <c r="B3" s="2634"/>
      <c r="C3" s="2361" t="s">
        <v>104</v>
      </c>
      <c r="D3" s="625" t="str">
        <f>B3&amp;".1"</f>
        <v>.1</v>
      </c>
      <c r="E3" s="626" t="s">
        <v>1099</v>
      </c>
      <c r="F3" s="627" t="s">
        <v>325</v>
      </c>
      <c r="G3" s="622"/>
      <c r="H3" s="337"/>
      <c r="I3" s="622"/>
      <c r="J3" s="337"/>
      <c r="K3" s="2025"/>
      <c r="L3" s="747"/>
      <c r="M3" s="2025"/>
      <c r="N3" s="747"/>
      <c r="O3" s="2025"/>
      <c r="P3" s="747"/>
      <c r="Q3" s="2025"/>
      <c r="R3" s="747"/>
      <c r="S3" s="2025"/>
      <c r="T3" s="747"/>
      <c r="U3" s="226" t="s">
        <v>1100</v>
      </c>
      <c r="AF3" s="441">
        <v>0</v>
      </c>
    </row>
    <row r="4" spans="1:32" ht="15" hidden="1" customHeight="1">
      <c r="A4" s="441"/>
      <c r="B4" s="2634"/>
      <c r="C4" s="2361"/>
      <c r="D4" s="625" t="str">
        <f>B3&amp;".2"</f>
        <v>.2</v>
      </c>
      <c r="E4" s="626" t="s">
        <v>1101</v>
      </c>
      <c r="F4" s="627" t="s">
        <v>325</v>
      </c>
      <c r="G4" s="1659" t="s">
        <v>22</v>
      </c>
      <c r="H4" s="337"/>
      <c r="I4" s="1659" t="s">
        <v>22</v>
      </c>
      <c r="J4" s="337"/>
      <c r="K4" s="1659" t="s">
        <v>22</v>
      </c>
      <c r="L4" s="747"/>
      <c r="M4" s="1659" t="s">
        <v>22</v>
      </c>
      <c r="N4" s="747"/>
      <c r="O4" s="1659" t="s">
        <v>22</v>
      </c>
      <c r="P4" s="747"/>
      <c r="Q4" s="1659" t="s">
        <v>22</v>
      </c>
      <c r="R4" s="747"/>
      <c r="S4" s="1659" t="s">
        <v>22</v>
      </c>
      <c r="T4" s="747"/>
      <c r="U4" s="226" t="s">
        <v>1102</v>
      </c>
      <c r="AF4" s="441">
        <v>0</v>
      </c>
    </row>
    <row r="5" spans="1:32" s="1289" customFormat="1" ht="15" hidden="1" customHeight="1">
      <c r="C5" s="608"/>
      <c r="AE5" s="356"/>
      <c r="AF5" s="353">
        <v>0</v>
      </c>
    </row>
    <row r="6" spans="1:32" ht="22.5" hidden="1" customHeight="1">
      <c r="A6" s="441"/>
      <c r="B6" s="2634"/>
      <c r="C6" s="2361" t="s">
        <v>104</v>
      </c>
      <c r="D6" s="625" t="str">
        <f>B6&amp;".1"</f>
        <v>.1</v>
      </c>
      <c r="E6" s="626" t="s">
        <v>1103</v>
      </c>
      <c r="F6" s="627" t="s">
        <v>325</v>
      </c>
      <c r="G6" s="622"/>
      <c r="H6" s="337"/>
      <c r="I6" s="622"/>
      <c r="J6" s="337"/>
      <c r="K6" s="2025"/>
      <c r="L6" s="747"/>
      <c r="M6" s="2025"/>
      <c r="N6" s="747"/>
      <c r="O6" s="2025"/>
      <c r="P6" s="747"/>
      <c r="Q6" s="2025"/>
      <c r="R6" s="747"/>
      <c r="S6" s="2025"/>
      <c r="T6" s="747"/>
      <c r="U6" s="226" t="s">
        <v>1104</v>
      </c>
      <c r="AF6" s="441">
        <v>0</v>
      </c>
    </row>
    <row r="7" spans="1:32" ht="15" hidden="1" customHeight="1">
      <c r="A7" s="441"/>
      <c r="B7" s="2634"/>
      <c r="C7" s="2361"/>
      <c r="D7" s="625" t="str">
        <f>B6&amp;".2"</f>
        <v>.2</v>
      </c>
      <c r="E7" s="626" t="s">
        <v>1101</v>
      </c>
      <c r="F7" s="627" t="s">
        <v>325</v>
      </c>
      <c r="G7" s="1659" t="s">
        <v>22</v>
      </c>
      <c r="H7" s="337"/>
      <c r="I7" s="1659" t="s">
        <v>22</v>
      </c>
      <c r="J7" s="337"/>
      <c r="K7" s="1659" t="s">
        <v>22</v>
      </c>
      <c r="L7" s="747"/>
      <c r="M7" s="1659" t="s">
        <v>22</v>
      </c>
      <c r="N7" s="747"/>
      <c r="O7" s="1659" t="s">
        <v>22</v>
      </c>
      <c r="P7" s="747"/>
      <c r="Q7" s="1659" t="s">
        <v>22</v>
      </c>
      <c r="R7" s="747"/>
      <c r="S7" s="1659" t="s">
        <v>22</v>
      </c>
      <c r="T7" s="747"/>
      <c r="U7" s="226" t="s">
        <v>1102</v>
      </c>
      <c r="AF7" s="441">
        <v>0</v>
      </c>
    </row>
    <row r="8" spans="1:32" s="1289" customFormat="1" ht="15" hidden="1" customHeight="1">
      <c r="C8" s="608"/>
      <c r="AE8" s="356"/>
      <c r="AF8" s="353">
        <v>0</v>
      </c>
    </row>
    <row r="9" spans="1:32" ht="22.5" hidden="1" customHeight="1">
      <c r="A9" s="441"/>
      <c r="B9" s="2634"/>
      <c r="C9" s="2361" t="s">
        <v>104</v>
      </c>
      <c r="D9" s="625" t="str">
        <f>B9&amp;".1"</f>
        <v>.1</v>
      </c>
      <c r="E9" s="626" t="s">
        <v>1105</v>
      </c>
      <c r="F9" s="627" t="s">
        <v>325</v>
      </c>
      <c r="G9" s="633" t="s">
        <v>22</v>
      </c>
      <c r="H9" s="337" t="s">
        <v>22</v>
      </c>
      <c r="I9" s="633" t="s">
        <v>22</v>
      </c>
      <c r="J9" s="337" t="s">
        <v>22</v>
      </c>
      <c r="K9" s="790" t="s">
        <v>22</v>
      </c>
      <c r="L9" s="747" t="s">
        <v>22</v>
      </c>
      <c r="M9" s="790" t="s">
        <v>22</v>
      </c>
      <c r="N9" s="747" t="s">
        <v>22</v>
      </c>
      <c r="O9" s="790" t="s">
        <v>22</v>
      </c>
      <c r="P9" s="747" t="s">
        <v>22</v>
      </c>
      <c r="Q9" s="790" t="s">
        <v>22</v>
      </c>
      <c r="R9" s="747" t="s">
        <v>22</v>
      </c>
      <c r="S9" s="790" t="s">
        <v>22</v>
      </c>
      <c r="T9" s="747" t="s">
        <v>22</v>
      </c>
      <c r="U9" s="226"/>
      <c r="AF9" s="441">
        <v>0</v>
      </c>
    </row>
    <row r="10" spans="1:32" ht="15" hidden="1" customHeight="1">
      <c r="A10" s="441"/>
      <c r="B10" s="2634"/>
      <c r="C10" s="2361"/>
      <c r="D10" s="625" t="str">
        <f>B9&amp;".2"</f>
        <v>.2</v>
      </c>
      <c r="E10" s="626" t="s">
        <v>1106</v>
      </c>
      <c r="F10" s="627" t="s">
        <v>325</v>
      </c>
      <c r="G10" s="1653" t="s">
        <v>22</v>
      </c>
      <c r="H10" s="337" t="s">
        <v>22</v>
      </c>
      <c r="I10" s="1653" t="s">
        <v>22</v>
      </c>
      <c r="J10" s="337" t="s">
        <v>22</v>
      </c>
      <c r="K10" s="1653" t="s">
        <v>22</v>
      </c>
      <c r="L10" s="747" t="s">
        <v>22</v>
      </c>
      <c r="M10" s="1653" t="s">
        <v>22</v>
      </c>
      <c r="N10" s="747" t="s">
        <v>22</v>
      </c>
      <c r="O10" s="1653" t="s">
        <v>22</v>
      </c>
      <c r="P10" s="747" t="s">
        <v>22</v>
      </c>
      <c r="Q10" s="1653" t="s">
        <v>22</v>
      </c>
      <c r="R10" s="747" t="s">
        <v>22</v>
      </c>
      <c r="S10" s="1653" t="s">
        <v>22</v>
      </c>
      <c r="T10" s="747" t="s">
        <v>22</v>
      </c>
      <c r="U10" s="226" t="s">
        <v>1107</v>
      </c>
      <c r="AF10" s="441">
        <v>0</v>
      </c>
    </row>
    <row r="11" spans="1:32" ht="15" hidden="1" customHeight="1">
      <c r="A11" s="441"/>
      <c r="B11" s="2634"/>
      <c r="C11" s="2361"/>
      <c r="D11" s="625" t="str">
        <f>B9&amp;".3"</f>
        <v>.3</v>
      </c>
      <c r="E11" s="626" t="s">
        <v>1108</v>
      </c>
      <c r="F11" s="627" t="s">
        <v>325</v>
      </c>
      <c r="G11" s="1653" t="s">
        <v>22</v>
      </c>
      <c r="H11" s="337" t="s">
        <v>22</v>
      </c>
      <c r="I11" s="1653" t="s">
        <v>22</v>
      </c>
      <c r="J11" s="337" t="s">
        <v>22</v>
      </c>
      <c r="K11" s="1653" t="s">
        <v>22</v>
      </c>
      <c r="L11" s="747" t="s">
        <v>22</v>
      </c>
      <c r="M11" s="1653" t="s">
        <v>22</v>
      </c>
      <c r="N11" s="747" t="s">
        <v>22</v>
      </c>
      <c r="O11" s="1653" t="s">
        <v>22</v>
      </c>
      <c r="P11" s="747" t="s">
        <v>22</v>
      </c>
      <c r="Q11" s="1653" t="s">
        <v>22</v>
      </c>
      <c r="R11" s="747" t="s">
        <v>22</v>
      </c>
      <c r="S11" s="1653" t="s">
        <v>22</v>
      </c>
      <c r="T11" s="747" t="s">
        <v>22</v>
      </c>
      <c r="U11" s="226" t="s">
        <v>1109</v>
      </c>
      <c r="AF11" s="441">
        <v>0</v>
      </c>
    </row>
    <row r="12" spans="1:32" s="1289" customFormat="1" ht="15" hidden="1" customHeight="1">
      <c r="C12" s="608"/>
      <c r="AE12" s="356"/>
      <c r="AF12" s="353">
        <v>0</v>
      </c>
    </row>
    <row r="13" spans="1:32" ht="33.75" hidden="1" customHeight="1">
      <c r="A13" s="441"/>
      <c r="B13" s="2634"/>
      <c r="C13" s="2361" t="s">
        <v>104</v>
      </c>
      <c r="D13" s="625" t="str">
        <f>B13&amp;".1"</f>
        <v>.1</v>
      </c>
      <c r="E13" s="626" t="s">
        <v>1110</v>
      </c>
      <c r="F13" s="627" t="s">
        <v>325</v>
      </c>
      <c r="G13" s="633" t="s">
        <v>22</v>
      </c>
      <c r="H13" s="337" t="s">
        <v>22</v>
      </c>
      <c r="I13" s="633" t="s">
        <v>22</v>
      </c>
      <c r="J13" s="337" t="s">
        <v>22</v>
      </c>
      <c r="K13" s="790" t="s">
        <v>22</v>
      </c>
      <c r="L13" s="747" t="s">
        <v>22</v>
      </c>
      <c r="M13" s="790" t="s">
        <v>22</v>
      </c>
      <c r="N13" s="747" t="s">
        <v>22</v>
      </c>
      <c r="O13" s="790" t="s">
        <v>22</v>
      </c>
      <c r="P13" s="747" t="s">
        <v>22</v>
      </c>
      <c r="Q13" s="790" t="s">
        <v>22</v>
      </c>
      <c r="R13" s="747" t="s">
        <v>22</v>
      </c>
      <c r="S13" s="790" t="s">
        <v>22</v>
      </c>
      <c r="T13" s="747" t="s">
        <v>22</v>
      </c>
      <c r="U13" s="226" t="s">
        <v>1111</v>
      </c>
      <c r="AF13" s="441">
        <v>0</v>
      </c>
    </row>
    <row r="14" spans="1:32" ht="15" hidden="1" customHeight="1">
      <c r="B14" s="2634"/>
      <c r="C14" s="2361"/>
      <c r="D14" s="625" t="str">
        <f>B13&amp;".2"</f>
        <v>.2</v>
      </c>
      <c r="E14" s="626" t="s">
        <v>1112</v>
      </c>
      <c r="F14" s="627" t="s">
        <v>325</v>
      </c>
      <c r="G14" s="1653" t="s">
        <v>22</v>
      </c>
      <c r="H14" s="337" t="s">
        <v>22</v>
      </c>
      <c r="I14" s="1653" t="s">
        <v>22</v>
      </c>
      <c r="J14" s="337" t="s">
        <v>22</v>
      </c>
      <c r="K14" s="1653" t="s">
        <v>22</v>
      </c>
      <c r="L14" s="747" t="s">
        <v>22</v>
      </c>
      <c r="M14" s="1653" t="s">
        <v>22</v>
      </c>
      <c r="N14" s="747" t="s">
        <v>22</v>
      </c>
      <c r="O14" s="1653" t="s">
        <v>22</v>
      </c>
      <c r="P14" s="747" t="s">
        <v>22</v>
      </c>
      <c r="Q14" s="1653" t="s">
        <v>22</v>
      </c>
      <c r="R14" s="747" t="s">
        <v>22</v>
      </c>
      <c r="S14" s="1653" t="s">
        <v>22</v>
      </c>
      <c r="T14" s="747" t="s">
        <v>22</v>
      </c>
      <c r="U14" s="226" t="s">
        <v>1113</v>
      </c>
      <c r="AF14" s="441">
        <v>0</v>
      </c>
    </row>
    <row r="15" spans="1:32" s="1289" customFormat="1" ht="15" hidden="1" customHeight="1">
      <c r="C15" s="608"/>
      <c r="AE15" s="356"/>
      <c r="AF15" s="353">
        <v>0</v>
      </c>
    </row>
    <row r="16" spans="1:32" s="1289" customFormat="1" ht="15" hidden="1" customHeight="1">
      <c r="C16" s="608"/>
      <c r="AE16" s="356"/>
      <c r="AF16" s="353">
        <v>0</v>
      </c>
    </row>
    <row r="17" spans="1:32" s="1289" customFormat="1" ht="15" hidden="1" customHeight="1">
      <c r="C17" s="608"/>
      <c r="AE17" s="356"/>
      <c r="AF17" s="353">
        <v>0</v>
      </c>
    </row>
    <row r="18" spans="1:32" s="1289" customFormat="1" ht="15" hidden="1" customHeight="1">
      <c r="C18" s="608"/>
      <c r="AE18" s="356"/>
      <c r="AF18" s="353">
        <v>0</v>
      </c>
    </row>
    <row r="19" spans="1:32" s="1289" customFormat="1" ht="15" hidden="1" customHeight="1">
      <c r="C19" s="608"/>
      <c r="AE19" s="356"/>
      <c r="AF19" s="353">
        <v>0</v>
      </c>
    </row>
    <row r="20" spans="1:32" s="1289" customFormat="1" ht="15" hidden="1" customHeight="1">
      <c r="C20" s="608"/>
      <c r="AE20" s="356"/>
      <c r="AF20" s="353">
        <v>0</v>
      </c>
    </row>
    <row r="21" spans="1:32" ht="15.75" customHeight="1">
      <c r="C21" s="113"/>
      <c r="D21" s="445"/>
      <c r="E21" s="445"/>
      <c r="F21" s="445"/>
      <c r="G21" s="445"/>
      <c r="H21" s="445"/>
      <c r="I21" s="445"/>
      <c r="J21" s="445"/>
      <c r="AF21" s="441">
        <v>15</v>
      </c>
    </row>
    <row r="22" spans="1:32" ht="23.25" customHeight="1">
      <c r="C22" s="113"/>
      <c r="D22" s="249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490"/>
      <c r="F22" s="2490"/>
      <c r="G22" s="2490"/>
      <c r="H22" s="2490"/>
      <c r="I22" s="2490"/>
      <c r="J22" s="612"/>
      <c r="K22" s="2017"/>
      <c r="L22" s="2017"/>
      <c r="M22" s="2017"/>
      <c r="N22" s="2017"/>
      <c r="O22" s="2017"/>
      <c r="P22" s="2017"/>
      <c r="Q22" s="2017"/>
      <c r="R22" s="2017"/>
      <c r="S22" s="2017"/>
      <c r="T22" s="2017"/>
      <c r="U22" s="473"/>
      <c r="AF22" s="441">
        <v>22</v>
      </c>
    </row>
    <row r="23" spans="1:32" ht="15.75" customHeight="1">
      <c r="C23" s="113"/>
      <c r="D23" s="2436" t="str">
        <f>IF(org=0,"Не определено",org)</f>
        <v>ПАО "ТГК-2"</v>
      </c>
      <c r="E23" s="2436"/>
      <c r="F23" s="2436"/>
      <c r="G23" s="2436"/>
      <c r="H23" s="2436"/>
      <c r="I23" s="2436"/>
      <c r="J23" s="612"/>
      <c r="K23" s="2018"/>
      <c r="L23" s="2018"/>
      <c r="M23" s="2018"/>
      <c r="N23" s="2018"/>
      <c r="O23" s="2018"/>
      <c r="P23" s="2018"/>
      <c r="Q23" s="2018"/>
      <c r="R23" s="2018"/>
      <c r="S23" s="2018"/>
      <c r="T23" s="2018"/>
      <c r="U23" s="473"/>
      <c r="AF23" s="441">
        <v>15</v>
      </c>
    </row>
    <row r="24" spans="1:32" ht="15.75" customHeight="1">
      <c r="C24" s="113"/>
      <c r="D24" s="445"/>
      <c r="E24" s="445"/>
      <c r="F24" s="445"/>
      <c r="G24" s="473">
        <v>22</v>
      </c>
      <c r="H24" s="687"/>
      <c r="I24" s="473">
        <v>22</v>
      </c>
      <c r="J24" s="687"/>
      <c r="K24" s="1289" t="s">
        <v>22</v>
      </c>
      <c r="L24" s="687"/>
      <c r="M24" s="1289" t="s">
        <v>22</v>
      </c>
      <c r="N24" s="687"/>
      <c r="O24" s="1289" t="s">
        <v>22</v>
      </c>
      <c r="P24" s="687"/>
      <c r="Q24" s="1289" t="s">
        <v>22</v>
      </c>
      <c r="R24" s="687"/>
      <c r="S24" s="1289" t="s">
        <v>22</v>
      </c>
      <c r="T24" s="687"/>
      <c r="AF24" s="441">
        <v>15</v>
      </c>
    </row>
    <row r="25" spans="1:32" s="1558" customFormat="1" ht="1.1499999999999999" customHeight="1">
      <c r="A25" s="692"/>
      <c r="C25" s="113"/>
      <c r="D25" s="445"/>
      <c r="E25" s="445"/>
      <c r="F25" s="445"/>
      <c r="G25" s="473"/>
      <c r="H25" s="687"/>
      <c r="I25" s="473" t="s">
        <v>129</v>
      </c>
      <c r="J25" s="687"/>
      <c r="K25" s="1289" t="s">
        <v>135</v>
      </c>
      <c r="L25" s="687"/>
      <c r="M25" s="1289" t="s">
        <v>137</v>
      </c>
      <c r="N25" s="687"/>
      <c r="O25" s="1289" t="s">
        <v>140</v>
      </c>
      <c r="P25" s="687"/>
      <c r="Q25" s="1289" t="s">
        <v>139</v>
      </c>
      <c r="R25" s="687"/>
      <c r="S25" s="1289" t="s">
        <v>133</v>
      </c>
      <c r="T25" s="687"/>
      <c r="U25" s="353"/>
      <c r="AE25" s="611"/>
      <c r="AF25" s="691">
        <v>1</v>
      </c>
    </row>
    <row r="26" spans="1:32" ht="15.75" customHeight="1">
      <c r="C26" s="113"/>
      <c r="D26" s="647"/>
      <c r="E26" s="2591" t="s">
        <v>119</v>
      </c>
      <c r="F26" s="2592"/>
      <c r="G26" s="2632" t="str">
        <f>IF(G25="","",INDEX(DIFFERENTIATION_UNMERGE_VD,MATCH(G25,DIFFERENTIATION_ID_DIFF,0)))</f>
        <v/>
      </c>
      <c r="H26" s="2633"/>
      <c r="I26" s="2632" t="str">
        <f>IF(I25="","",INDEX(DIFFERENTIATION_UNMERGE_VD,MATCH(I25,DIFFERENTIATION_ID_DIFF,0)))</f>
        <v>Производство тепловой энергии. Комбинированная выработка с уст. мощностью производства электрической энергии 25 МВт и более</v>
      </c>
      <c r="J26" s="2633"/>
      <c r="K26" s="2632" t="str">
        <f>IF(K25="","",INDEX(DIFFERENTIATION_UNMERGE_VD,MATCH(K25,DIFFERENTIATION_ID_DIFF,0)))</f>
        <v>Производство тепловой энергии. Некомбинированная выработка</v>
      </c>
      <c r="L26" s="2633"/>
      <c r="M26" s="2632" t="str">
        <f>IF(M25="","",INDEX(DIFFERENTIATION_UNMERGE_VD,MATCH(M25,DIFFERENTIATION_ID_DIFF,0)))</f>
        <v>Передача. Тепловая энергия; Сбыт. Тепловая энергия</v>
      </c>
      <c r="N26" s="2633"/>
      <c r="O26" s="2632" t="str">
        <f>IF(O25="","",INDEX(DIFFERENTIATION_UNMERGE_VD,MATCH(O25,DIFFERENTIATION_ID_DIFF,0)))</f>
        <v>Производство. Теплоноситель; Сбыт. Теплоноситель</v>
      </c>
      <c r="P26" s="2633"/>
      <c r="Q26" s="2632" t="str">
        <f>IF(Q25="","",INDEX(DIFFERENTIATION_UNMERGE_VD,MATCH(Q25,DIFFERENTIATION_ID_DIFF,0)))</f>
        <v>Передача. Тепловая энергия; Сбыт. Тепловая энергия</v>
      </c>
      <c r="R26" s="2633"/>
      <c r="S26" s="2632" t="str">
        <f>IF(S25="","",INDEX(DIFFERENTIATION_UNMERGE_VD,MATCH(S25,DIFFERENTIATION_ID_DIFF,0)))</f>
        <v>Производство тепловой энергии. Комбинированная выработка с уст. мощностью производства электрической энергии 25 МВт и более</v>
      </c>
      <c r="T26" s="2633"/>
      <c r="U26" s="2435" t="s">
        <v>320</v>
      </c>
      <c r="AF26" s="441">
        <v>15</v>
      </c>
    </row>
    <row r="27" spans="1:32" s="1558" customFormat="1" ht="15.75" customHeight="1">
      <c r="A27" s="692"/>
      <c r="C27" s="113"/>
      <c r="D27" s="647"/>
      <c r="E27" s="2591" t="s">
        <v>581</v>
      </c>
      <c r="F27" s="2592"/>
      <c r="G27" s="2632" t="str">
        <f>IF(G25="","",INDEX(DIFFERENTIATION_UNMERGE_AREA,MATCH(G25,DIFFERENTIATION_ID_DIFF,0)))</f>
        <v/>
      </c>
      <c r="H27" s="2633"/>
      <c r="I27" s="2632" t="str">
        <f>IF(I25="","",INDEX(DIFFERENTIATION_UNMERGE_AREA,MATCH(I25,DIFFERENTIATION_ID_DIFF,0)))</f>
        <v>Территория 1</v>
      </c>
      <c r="J27" s="2633"/>
      <c r="K27" s="2632" t="str">
        <f>IF(K25="","",INDEX(DIFFERENTIATION_UNMERGE_AREA,MATCH(K25,DIFFERENTIATION_ID_DIFF,0)))</f>
        <v>Территория 1</v>
      </c>
      <c r="L27" s="2633"/>
      <c r="M27" s="2632" t="str">
        <f>IF(M25="","",INDEX(DIFFERENTIATION_UNMERGE_AREA,MATCH(M25,DIFFERENTIATION_ID_DIFF,0)))</f>
        <v>Территория 1</v>
      </c>
      <c r="N27" s="2633"/>
      <c r="O27" s="2632" t="str">
        <f>IF(O25="","",INDEX(DIFFERENTIATION_UNMERGE_AREA,MATCH(O25,DIFFERENTIATION_ID_DIFF,0)))</f>
        <v>Территория 2</v>
      </c>
      <c r="P27" s="2633"/>
      <c r="Q27" s="2632" t="str">
        <f>IF(Q25="","",INDEX(DIFFERENTIATION_UNMERGE_AREA,MATCH(Q25,DIFFERENTIATION_ID_DIFF,0)))</f>
        <v>Территория 2</v>
      </c>
      <c r="R27" s="2633"/>
      <c r="S27" s="2632" t="str">
        <f>IF(S25="","",INDEX(DIFFERENTIATION_UNMERGE_AREA,MATCH(S25,DIFFERENTIATION_ID_DIFF,0)))</f>
        <v>Территория 2</v>
      </c>
      <c r="T27" s="2633"/>
      <c r="U27" s="2455"/>
      <c r="AE27" s="611"/>
      <c r="AF27" s="691">
        <v>15</v>
      </c>
    </row>
    <row r="28" spans="1:32" s="1558" customFormat="1" ht="15.75" customHeight="1">
      <c r="A28" s="692"/>
      <c r="C28" s="113"/>
      <c r="D28" s="647"/>
      <c r="E28" s="2591" t="s">
        <v>582</v>
      </c>
      <c r="F28" s="2592"/>
      <c r="G28" s="2632" t="str">
        <f>IF(G25="","",INDEX(DIFFERENTIATION_UNMERGE_SYSTEM,MATCH(G25,DIFFERENTIATION_ID_DIFF,0)))</f>
        <v/>
      </c>
      <c r="H28" s="2633"/>
      <c r="I28" s="2632" t="str">
        <f>IF(I25="","",INDEX(DIFFERENTIATION_UNMERGE_SYSTEM,MATCH(I25,DIFFERENTIATION_ID_DIFF,0)))</f>
        <v>без дифференциации</v>
      </c>
      <c r="J28" s="2633"/>
      <c r="K28" s="2632" t="str">
        <f>IF(K25="","",INDEX(DIFFERENTIATION_UNMERGE_SYSTEM,MATCH(K25,DIFFERENTIATION_ID_DIFF,0)))</f>
        <v>без дифференциации</v>
      </c>
      <c r="L28" s="2633"/>
      <c r="M28" s="2632" t="str">
        <f>IF(M25="","",INDEX(DIFFERENTIATION_UNMERGE_SYSTEM,MATCH(M25,DIFFERENTIATION_ID_DIFF,0)))</f>
        <v>без дифференциации</v>
      </c>
      <c r="N28" s="2633"/>
      <c r="O28" s="2632" t="str">
        <f>IF(O25="","",INDEX(DIFFERENTIATION_UNMERGE_SYSTEM,MATCH(O25,DIFFERENTIATION_ID_DIFF,0)))</f>
        <v>без дифференциации</v>
      </c>
      <c r="P28" s="2633"/>
      <c r="Q28" s="2632" t="str">
        <f>IF(Q25="","",INDEX(DIFFERENTIATION_UNMERGE_SYSTEM,MATCH(Q25,DIFFERENTIATION_ID_DIFF,0)))</f>
        <v>без дифференциации</v>
      </c>
      <c r="R28" s="2633"/>
      <c r="S28" s="2632" t="str">
        <f>IF(S25="","",INDEX(DIFFERENTIATION_UNMERGE_SYSTEM,MATCH(S25,DIFFERENTIATION_ID_DIFF,0)))</f>
        <v>без дифференциации</v>
      </c>
      <c r="T28" s="2633"/>
      <c r="U28" s="2455"/>
      <c r="AE28" s="611"/>
      <c r="AF28" s="691">
        <v>15</v>
      </c>
    </row>
    <row r="29" spans="1:32" s="1558" customFormat="1" ht="15.75" customHeight="1">
      <c r="A29" s="692"/>
      <c r="C29" s="113"/>
      <c r="D29" s="2593" t="s">
        <v>319</v>
      </c>
      <c r="E29" s="2594"/>
      <c r="F29" s="2594"/>
      <c r="G29" s="815"/>
      <c r="H29" s="815"/>
      <c r="I29" s="815"/>
      <c r="J29" s="816"/>
      <c r="K29" s="2027"/>
      <c r="L29" s="2027"/>
      <c r="M29" s="2027"/>
      <c r="N29" s="2027"/>
      <c r="O29" s="2027"/>
      <c r="P29" s="2027"/>
      <c r="Q29" s="2027"/>
      <c r="R29" s="2027"/>
      <c r="S29" s="2027"/>
      <c r="T29" s="2027"/>
      <c r="U29" s="2455"/>
      <c r="AE29" s="611"/>
      <c r="AF29" s="691">
        <v>15</v>
      </c>
    </row>
    <row r="30" spans="1:32" ht="35.65" customHeight="1">
      <c r="C30" s="113"/>
      <c r="D30" s="694" t="s">
        <v>89</v>
      </c>
      <c r="E30" s="693" t="s">
        <v>321</v>
      </c>
      <c r="F30" s="693" t="s">
        <v>583</v>
      </c>
      <c r="G30" s="737" t="s">
        <v>322</v>
      </c>
      <c r="H30" s="736" t="s">
        <v>409</v>
      </c>
      <c r="I30" s="620" t="s">
        <v>322</v>
      </c>
      <c r="J30" s="401" t="s">
        <v>409</v>
      </c>
      <c r="K30" s="2020" t="s">
        <v>322</v>
      </c>
      <c r="L30" s="2024" t="s">
        <v>409</v>
      </c>
      <c r="M30" s="2020" t="s">
        <v>322</v>
      </c>
      <c r="N30" s="2024" t="s">
        <v>409</v>
      </c>
      <c r="O30" s="2020" t="s">
        <v>322</v>
      </c>
      <c r="P30" s="2024" t="s">
        <v>409</v>
      </c>
      <c r="Q30" s="2020" t="s">
        <v>322</v>
      </c>
      <c r="R30" s="2024" t="s">
        <v>409</v>
      </c>
      <c r="S30" s="2020" t="s">
        <v>322</v>
      </c>
      <c r="T30" s="2024" t="s">
        <v>409</v>
      </c>
      <c r="U30" s="2458"/>
      <c r="AF30" s="441">
        <v>34</v>
      </c>
    </row>
    <row r="31" spans="1:32" ht="15" hidden="1" customHeight="1">
      <c r="C31" s="113"/>
      <c r="D31" s="529"/>
      <c r="E31" s="529"/>
      <c r="F31" s="529"/>
      <c r="G31" s="595"/>
      <c r="H31" s="595"/>
      <c r="I31" s="595"/>
      <c r="J31" s="595"/>
      <c r="K31" s="619"/>
      <c r="L31" s="619"/>
      <c r="M31" s="619"/>
      <c r="N31" s="619"/>
      <c r="O31" s="619"/>
      <c r="P31" s="619"/>
      <c r="Q31" s="619"/>
      <c r="R31" s="619"/>
      <c r="S31" s="619"/>
      <c r="T31" s="619"/>
      <c r="U31" s="226"/>
      <c r="AF31" s="441">
        <v>0</v>
      </c>
    </row>
    <row r="32" spans="1:32" ht="24" customHeight="1">
      <c r="A32" s="441"/>
      <c r="B32" s="441" t="s">
        <v>1114</v>
      </c>
      <c r="C32" s="462"/>
      <c r="D32" s="628">
        <v>1</v>
      </c>
      <c r="E32" s="629" t="s">
        <v>1115</v>
      </c>
      <c r="F32" s="627" t="s">
        <v>325</v>
      </c>
      <c r="G32" s="742" t="s">
        <v>325</v>
      </c>
      <c r="H32" s="742" t="s">
        <v>325</v>
      </c>
      <c r="I32" s="627" t="s">
        <v>325</v>
      </c>
      <c r="J32" s="627" t="s">
        <v>325</v>
      </c>
      <c r="K32" s="2021" t="s">
        <v>325</v>
      </c>
      <c r="L32" s="2021" t="s">
        <v>325</v>
      </c>
      <c r="M32" s="2021" t="s">
        <v>325</v>
      </c>
      <c r="N32" s="2021" t="s">
        <v>325</v>
      </c>
      <c r="O32" s="2021" t="s">
        <v>325</v>
      </c>
      <c r="P32" s="2021" t="s">
        <v>325</v>
      </c>
      <c r="Q32" s="2021" t="s">
        <v>325</v>
      </c>
      <c r="R32" s="2021" t="s">
        <v>325</v>
      </c>
      <c r="S32" s="2021" t="s">
        <v>325</v>
      </c>
      <c r="T32" s="2021" t="s">
        <v>325</v>
      </c>
      <c r="U32" s="226"/>
      <c r="AF32" s="441">
        <v>23</v>
      </c>
    </row>
    <row r="33" spans="1:32" ht="11.45" customHeight="1">
      <c r="A33" s="441"/>
      <c r="C33" s="441"/>
      <c r="D33" s="284"/>
      <c r="E33" s="516" t="s">
        <v>621</v>
      </c>
      <c r="F33" s="508"/>
      <c r="G33" s="508"/>
      <c r="H33" s="508"/>
      <c r="I33" s="508"/>
      <c r="J33" s="508"/>
      <c r="K33" s="2104"/>
      <c r="L33" s="2105"/>
      <c r="M33" s="2106"/>
      <c r="N33" s="2107"/>
      <c r="O33" s="2108"/>
      <c r="P33" s="2109"/>
      <c r="Q33" s="2110"/>
      <c r="R33" s="2111"/>
      <c r="S33" s="2112"/>
      <c r="T33" s="2113"/>
      <c r="U33" s="509"/>
      <c r="AE33" s="441"/>
      <c r="AF33" s="441">
        <v>11</v>
      </c>
    </row>
    <row r="34" spans="1:32" ht="24" customHeight="1">
      <c r="A34" s="441"/>
      <c r="B34" s="517" t="s">
        <v>782</v>
      </c>
      <c r="C34" s="462"/>
      <c r="D34" s="628">
        <v>2</v>
      </c>
      <c r="E34" s="629" t="s">
        <v>1116</v>
      </c>
      <c r="F34" s="749" t="s">
        <v>325</v>
      </c>
      <c r="G34" s="749" t="s">
        <v>325</v>
      </c>
      <c r="H34" s="749" t="s">
        <v>325</v>
      </c>
      <c r="I34" s="627"/>
      <c r="J34" s="627"/>
      <c r="K34" s="2021" t="s">
        <v>325</v>
      </c>
      <c r="L34" s="2021" t="s">
        <v>325</v>
      </c>
      <c r="M34" s="2021" t="s">
        <v>325</v>
      </c>
      <c r="N34" s="2021" t="s">
        <v>325</v>
      </c>
      <c r="O34" s="2021" t="s">
        <v>325</v>
      </c>
      <c r="P34" s="2021" t="s">
        <v>325</v>
      </c>
      <c r="Q34" s="2021" t="s">
        <v>325</v>
      </c>
      <c r="R34" s="2021" t="s">
        <v>325</v>
      </c>
      <c r="S34" s="2021" t="s">
        <v>325</v>
      </c>
      <c r="T34" s="2021" t="s">
        <v>325</v>
      </c>
      <c r="U34" s="226"/>
      <c r="AF34" s="441">
        <v>23</v>
      </c>
    </row>
    <row r="35" spans="1:32" ht="11.45" customHeight="1">
      <c r="A35" s="441"/>
      <c r="C35" s="441"/>
      <c r="D35" s="284"/>
      <c r="E35" s="516" t="s">
        <v>1117</v>
      </c>
      <c r="F35" s="508"/>
      <c r="G35" s="630"/>
      <c r="H35" s="508"/>
      <c r="I35" s="630"/>
      <c r="J35" s="508"/>
      <c r="K35" s="2114"/>
      <c r="L35" s="2115"/>
      <c r="M35" s="2116"/>
      <c r="N35" s="2117"/>
      <c r="O35" s="2118"/>
      <c r="P35" s="2119"/>
      <c r="Q35" s="2120"/>
      <c r="R35" s="2121"/>
      <c r="S35" s="2122"/>
      <c r="T35" s="2123"/>
      <c r="U35" s="509"/>
      <c r="AE35" s="441"/>
      <c r="AF35" s="441">
        <v>11</v>
      </c>
    </row>
    <row r="36" spans="1:32" ht="71.25" customHeight="1">
      <c r="A36" s="441"/>
      <c r="B36" s="441" t="s">
        <v>1118</v>
      </c>
      <c r="C36" s="462"/>
      <c r="D36" s="628">
        <v>3</v>
      </c>
      <c r="E36" s="629" t="s">
        <v>1119</v>
      </c>
      <c r="F36" s="631" t="s">
        <v>325</v>
      </c>
      <c r="G36" s="743" t="s">
        <v>1120</v>
      </c>
      <c r="H36" s="742" t="s">
        <v>325</v>
      </c>
      <c r="I36" s="460" t="s">
        <v>1120</v>
      </c>
      <c r="J36" s="627" t="s">
        <v>325</v>
      </c>
      <c r="K36" s="2014" t="s">
        <v>1120</v>
      </c>
      <c r="L36" s="2021" t="s">
        <v>325</v>
      </c>
      <c r="M36" s="2014" t="s">
        <v>1120</v>
      </c>
      <c r="N36" s="2021" t="s">
        <v>325</v>
      </c>
      <c r="O36" s="2014" t="s">
        <v>1120</v>
      </c>
      <c r="P36" s="2021" t="s">
        <v>325</v>
      </c>
      <c r="Q36" s="2014" t="s">
        <v>1120</v>
      </c>
      <c r="R36" s="2021" t="s">
        <v>325</v>
      </c>
      <c r="S36" s="2014" t="s">
        <v>1120</v>
      </c>
      <c r="T36" s="2021" t="s">
        <v>325</v>
      </c>
      <c r="U36" s="226" t="s">
        <v>1121</v>
      </c>
      <c r="AF36" s="441">
        <v>68</v>
      </c>
    </row>
    <row r="37" spans="1:32" ht="11.45" customHeight="1">
      <c r="A37" s="441"/>
      <c r="C37" s="441"/>
      <c r="D37" s="284"/>
      <c r="E37" s="516" t="s">
        <v>1122</v>
      </c>
      <c r="F37" s="508"/>
      <c r="G37" s="630"/>
      <c r="H37" s="630"/>
      <c r="I37" s="630"/>
      <c r="J37" s="630"/>
      <c r="K37" s="2124"/>
      <c r="L37" s="2125"/>
      <c r="M37" s="2126"/>
      <c r="N37" s="2127"/>
      <c r="O37" s="2128"/>
      <c r="P37" s="2129"/>
      <c r="Q37" s="2130"/>
      <c r="R37" s="2131"/>
      <c r="S37" s="2132"/>
      <c r="T37" s="2133"/>
      <c r="U37" s="509"/>
      <c r="AE37" s="441"/>
      <c r="AF37" s="441">
        <v>11</v>
      </c>
    </row>
    <row r="38" spans="1:32" ht="71.25" customHeight="1">
      <c r="A38" s="441"/>
      <c r="B38" s="441" t="s">
        <v>1123</v>
      </c>
      <c r="C38" s="462"/>
      <c r="D38" s="628">
        <v>4</v>
      </c>
      <c r="E38" s="629" t="s">
        <v>1124</v>
      </c>
      <c r="F38" s="631" t="s">
        <v>325</v>
      </c>
      <c r="G38" s="743" t="s">
        <v>1120</v>
      </c>
      <c r="H38" s="744" t="s">
        <v>325</v>
      </c>
      <c r="I38" s="460" t="s">
        <v>1120</v>
      </c>
      <c r="J38" s="457" t="s">
        <v>325</v>
      </c>
      <c r="K38" s="2014" t="s">
        <v>1120</v>
      </c>
      <c r="L38" s="2024" t="s">
        <v>325</v>
      </c>
      <c r="M38" s="2014" t="s">
        <v>1120</v>
      </c>
      <c r="N38" s="2024" t="s">
        <v>325</v>
      </c>
      <c r="O38" s="2014" t="s">
        <v>1120</v>
      </c>
      <c r="P38" s="2024" t="s">
        <v>325</v>
      </c>
      <c r="Q38" s="2014" t="s">
        <v>1120</v>
      </c>
      <c r="R38" s="2024" t="s">
        <v>325</v>
      </c>
      <c r="S38" s="2014" t="s">
        <v>1120</v>
      </c>
      <c r="T38" s="2024" t="s">
        <v>325</v>
      </c>
      <c r="U38" s="615" t="s">
        <v>1125</v>
      </c>
      <c r="AF38" s="441">
        <v>68</v>
      </c>
    </row>
    <row r="39" spans="1:32" ht="11.45" customHeight="1">
      <c r="A39" s="441"/>
      <c r="C39" s="441"/>
      <c r="D39" s="284"/>
      <c r="E39" s="516" t="s">
        <v>1126</v>
      </c>
      <c r="F39" s="508"/>
      <c r="G39" s="508"/>
      <c r="H39" s="632"/>
      <c r="I39" s="508"/>
      <c r="J39" s="632"/>
      <c r="K39" s="2134"/>
      <c r="L39" s="2135"/>
      <c r="M39" s="2136"/>
      <c r="N39" s="2137"/>
      <c r="O39" s="2138"/>
      <c r="P39" s="2139"/>
      <c r="Q39" s="2140"/>
      <c r="R39" s="2141"/>
      <c r="S39" s="2142"/>
      <c r="T39" s="2143"/>
      <c r="U39" s="509"/>
      <c r="AE39" s="441"/>
      <c r="AF39" s="441">
        <v>11</v>
      </c>
    </row>
    <row r="40" spans="1:32" ht="22.5" hidden="1" customHeight="1">
      <c r="A40" s="385" t="s">
        <v>83</v>
      </c>
      <c r="B40" s="441">
        <v>0</v>
      </c>
      <c r="C40" s="619">
        <v>4</v>
      </c>
      <c r="D40" s="441">
        <v>6</v>
      </c>
      <c r="E40" s="441">
        <v>36</v>
      </c>
      <c r="F40" s="441">
        <v>9</v>
      </c>
      <c r="G40" s="691">
        <v>0</v>
      </c>
      <c r="H40" s="691">
        <v>0</v>
      </c>
      <c r="I40" s="441">
        <v>25</v>
      </c>
      <c r="J40" s="441">
        <v>33</v>
      </c>
      <c r="K40" s="1558">
        <v>0</v>
      </c>
      <c r="L40" s="1558">
        <v>0</v>
      </c>
      <c r="M40" s="1558">
        <v>0</v>
      </c>
      <c r="N40" s="1558">
        <v>0</v>
      </c>
      <c r="O40" s="1558">
        <v>0</v>
      </c>
      <c r="P40" s="1558">
        <v>0</v>
      </c>
      <c r="Q40" s="1558">
        <v>0</v>
      </c>
      <c r="R40" s="1558">
        <v>0</v>
      </c>
      <c r="S40" s="1558">
        <v>0</v>
      </c>
      <c r="T40" s="1558">
        <v>0</v>
      </c>
      <c r="U40" s="353">
        <v>93</v>
      </c>
      <c r="V40" s="441">
        <v>10</v>
      </c>
      <c r="W40" s="441">
        <v>10</v>
      </c>
      <c r="X40" s="441">
        <v>10</v>
      </c>
      <c r="Y40" s="441">
        <v>10</v>
      </c>
      <c r="Z40" s="441">
        <v>10</v>
      </c>
      <c r="AA40" s="441">
        <v>10</v>
      </c>
      <c r="AB40" s="441">
        <v>10</v>
      </c>
      <c r="AC40" s="441">
        <v>10</v>
      </c>
      <c r="AD40" s="441">
        <v>10</v>
      </c>
      <c r="AE40" s="611">
        <v>10</v>
      </c>
      <c r="AF40" s="441">
        <v>23</v>
      </c>
    </row>
  </sheetData>
  <sheetProtection formatColumns="0" formatRows="0" insertRows="0" deleteColumns="0" deleteRows="0" sort="0" autoFilter="0"/>
  <mergeCells count="36">
    <mergeCell ref="B3:B4"/>
    <mergeCell ref="C3:C4"/>
    <mergeCell ref="B6:B7"/>
    <mergeCell ref="C6:C7"/>
    <mergeCell ref="B9:B11"/>
    <mergeCell ref="C9:C11"/>
    <mergeCell ref="B13:B14"/>
    <mergeCell ref="C13:C14"/>
    <mergeCell ref="D22:I22"/>
    <mergeCell ref="D23:I23"/>
    <mergeCell ref="I26:J26"/>
    <mergeCell ref="E26:F26"/>
    <mergeCell ref="G28:H28"/>
    <mergeCell ref="U26:U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S28:T28"/>
    <mergeCell ref="S26:T26"/>
    <mergeCell ref="S27:T27"/>
    <mergeCell ref="O26:P26"/>
    <mergeCell ref="O27:P27"/>
    <mergeCell ref="Q28:R28"/>
    <mergeCell ref="Q26:R26"/>
    <mergeCell ref="Q27:R27"/>
  </mergeCells>
  <dataValidations count="5">
    <dataValidation allowBlank="1" showInputMessage="1" showErrorMessage="1" prompt="Для выбора выполните двойной щелчок левой клавиши мыши по ячейке." sqref="I36 G38 I38 G36 K36 K38 M36 M38 O36 O38 Q36 Q38 S36 S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R3:R4 T3:T4 H6:H7 J6:J7 L6:L7 N6:N7 P6:P7 R6:R7 T6:T7 J9:J11 L9:L11 N9:N11 P9:P11 R9:R11 T9:T11 H9:H11 J13:J14 L13:L14 N13:N14 P13:P14 R13:R14 T13:T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Q4 Q7 Q10 Q11 Q14 S4 S7 S10 S11 S14"/>
    <dataValidation type="textLength" operator="lessThanOrEqual" allowBlank="1" showInputMessage="1" showErrorMessage="1" errorTitle="Ошибка" error="Допускается ввод не более 900 символов!" sqref="I3 I6 I9 I13 G6 G13 G9 G3 K3 K6 K9 K13 M3 M6 M9 M13 O3 O6 O9 O13 Q3 Q6 Q9 Q13 S3 S6 S9 S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8"/>
  <sheetViews>
    <sheetView showGridLines="0" zoomScale="85" workbookViewId="0">
      <pane xSplit="7" ySplit="10" topLeftCell="R13" activePane="bottomRight" state="frozen"/>
      <selection pane="topRight" activeCell="H1" sqref="H1"/>
      <selection pane="bottomLeft" activeCell="A11" sqref="A11"/>
      <selection pane="bottomRight" activeCell="AD13" sqref="AD13"/>
    </sheetView>
  </sheetViews>
  <sheetFormatPr defaultColWidth="9.140625" defaultRowHeight="10.5" customHeight="1"/>
  <cols>
    <col min="1" max="3" width="6.7109375" style="1089" hidden="1" customWidth="1"/>
    <col min="4" max="4" width="6.7109375" style="1289" hidden="1" customWidth="1"/>
    <col min="5" max="5" width="3" style="1558" customWidth="1"/>
    <col min="6" max="6" width="6" style="1558" customWidth="1"/>
    <col min="7" max="7" width="37" style="1558" customWidth="1"/>
    <col min="8" max="8" width="16" style="1558" customWidth="1"/>
    <col min="9" max="10" width="19" style="1558" customWidth="1"/>
    <col min="11" max="11" width="24" style="1558" customWidth="1"/>
    <col min="12" max="13" width="25" style="1558" customWidth="1"/>
    <col min="14" max="16" width="17" style="1558" customWidth="1"/>
    <col min="17" max="24" width="19" style="1558" customWidth="1"/>
    <col min="25" max="25" width="7" style="1558" customWidth="1"/>
    <col min="26" max="26" width="3" style="1558" customWidth="1"/>
    <col min="27" max="27" width="6" style="1558" customWidth="1"/>
    <col min="28" max="28" width="34" style="1558" customWidth="1"/>
    <col min="29" max="30" width="8" style="1558" customWidth="1"/>
    <col min="31" max="31" width="9.140625" style="1558" hidden="1"/>
  </cols>
  <sheetData>
    <row r="1" spans="1:31" s="1289" customFormat="1" ht="10.5" hidden="1" customHeight="1">
      <c r="A1" s="823"/>
      <c r="B1" s="823"/>
      <c r="C1" s="823"/>
      <c r="E1" s="473"/>
      <c r="H1" s="1083"/>
      <c r="AE1" s="353" t="s">
        <v>14</v>
      </c>
    </row>
    <row r="2" spans="1:31" ht="10.5" hidden="1" customHeight="1">
      <c r="AE2" s="691">
        <v>0</v>
      </c>
    </row>
    <row r="3" spans="1:31" s="1555" customFormat="1" ht="10.5" hidden="1" customHeight="1">
      <c r="A3" s="823"/>
      <c r="B3" s="823"/>
      <c r="C3" s="823"/>
      <c r="D3" s="353"/>
      <c r="E3" s="298"/>
      <c r="G3" s="1555" t="s">
        <v>1127</v>
      </c>
      <c r="H3" s="1079"/>
      <c r="AE3" s="692">
        <v>0</v>
      </c>
    </row>
    <row r="4" spans="1:31" ht="3" customHeight="1">
      <c r="AE4" s="691">
        <v>3</v>
      </c>
    </row>
    <row r="5" spans="1:31" ht="27.4" customHeight="1">
      <c r="F5" s="249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490"/>
      <c r="H5" s="2490"/>
      <c r="I5" s="2490"/>
      <c r="J5" s="2490"/>
      <c r="K5" s="2490"/>
      <c r="M5" s="518"/>
      <c r="AB5" s="834"/>
      <c r="AE5" s="691">
        <v>26</v>
      </c>
    </row>
    <row r="6" spans="1:31" s="1558" customFormat="1" ht="16.899999999999999" customHeight="1">
      <c r="A6" s="1089"/>
      <c r="B6" s="1089"/>
      <c r="C6" s="1089"/>
      <c r="D6" s="1083"/>
      <c r="F6" s="2436" t="str">
        <f>IF(org=0,"Не определено",org)</f>
        <v>ПАО "ТГК-2"</v>
      </c>
      <c r="G6" s="2436"/>
      <c r="H6" s="2436"/>
      <c r="I6" s="2436"/>
      <c r="J6" s="2436"/>
      <c r="K6" s="2436"/>
      <c r="M6" s="518"/>
      <c r="AB6" s="1072"/>
      <c r="AE6" s="1554">
        <v>16</v>
      </c>
    </row>
    <row r="7" spans="1:31" ht="10.5" customHeight="1">
      <c r="AE7" s="691">
        <v>10</v>
      </c>
    </row>
    <row r="8" spans="1:31" ht="10.5" customHeight="1">
      <c r="A8" s="978"/>
      <c r="B8" s="978"/>
      <c r="C8" s="978"/>
      <c r="F8" s="2350" t="s">
        <v>319</v>
      </c>
      <c r="G8" s="2356"/>
      <c r="H8" s="2356"/>
      <c r="I8" s="2356"/>
      <c r="J8" s="2356"/>
      <c r="K8" s="2356"/>
      <c r="L8" s="2356"/>
      <c r="M8" s="2356"/>
      <c r="N8" s="2356"/>
      <c r="O8" s="2356"/>
      <c r="P8" s="2356"/>
      <c r="Q8" s="2356"/>
      <c r="R8" s="2356"/>
      <c r="S8" s="2356"/>
      <c r="T8" s="2356"/>
      <c r="U8" s="2356"/>
      <c r="V8" s="2356"/>
      <c r="W8" s="2356"/>
      <c r="X8" s="2356"/>
      <c r="Y8" s="2356"/>
      <c r="Z8" s="2356"/>
      <c r="AA8" s="2356"/>
      <c r="AB8" s="2349"/>
      <c r="AE8" s="691">
        <v>10</v>
      </c>
    </row>
    <row r="9" spans="1:31" ht="43.15" customHeight="1">
      <c r="A9" s="833"/>
      <c r="B9" s="833"/>
      <c r="C9" s="833"/>
      <c r="F9" s="2371" t="s">
        <v>89</v>
      </c>
      <c r="G9" s="2371" t="s">
        <v>1127</v>
      </c>
      <c r="H9" s="2435" t="s">
        <v>1128</v>
      </c>
      <c r="I9" s="2371" t="s">
        <v>1129</v>
      </c>
      <c r="J9" s="2371" t="s">
        <v>1130</v>
      </c>
      <c r="K9" s="2371" t="s">
        <v>1131</v>
      </c>
      <c r="L9" s="2371" t="s">
        <v>1132</v>
      </c>
      <c r="M9" s="2371" t="s">
        <v>1133</v>
      </c>
      <c r="N9" s="2466" t="s">
        <v>1134</v>
      </c>
      <c r="O9" s="2466"/>
      <c r="P9" s="2466"/>
      <c r="Q9" s="2515" t="s">
        <v>1135</v>
      </c>
      <c r="R9" s="2516"/>
      <c r="S9" s="2516"/>
      <c r="T9" s="2517"/>
      <c r="U9" s="2515" t="s">
        <v>1136</v>
      </c>
      <c r="V9" s="2516"/>
      <c r="W9" s="2516"/>
      <c r="X9" s="2517"/>
      <c r="Y9" s="2350" t="s">
        <v>1137</v>
      </c>
      <c r="Z9" s="2356"/>
      <c r="AA9" s="2356"/>
      <c r="AB9" s="2349"/>
      <c r="AE9" s="691">
        <v>41</v>
      </c>
    </row>
    <row r="10" spans="1:31" ht="43.15" customHeight="1">
      <c r="A10" s="833"/>
      <c r="B10" s="833"/>
      <c r="C10" s="833"/>
      <c r="F10" s="2435"/>
      <c r="G10" s="2435"/>
      <c r="H10" s="2485"/>
      <c r="I10" s="2435"/>
      <c r="J10" s="2435"/>
      <c r="K10" s="2435"/>
      <c r="L10" s="2435"/>
      <c r="M10" s="2435"/>
      <c r="N10" s="831" t="s">
        <v>1138</v>
      </c>
      <c r="O10" s="831" t="s">
        <v>1139</v>
      </c>
      <c r="P10" s="832" t="s">
        <v>1140</v>
      </c>
      <c r="Q10" s="843" t="s">
        <v>90</v>
      </c>
      <c r="R10" s="843" t="s">
        <v>1141</v>
      </c>
      <c r="S10" s="843" t="s">
        <v>1142</v>
      </c>
      <c r="T10" s="844" t="s">
        <v>1143</v>
      </c>
      <c r="U10" s="843" t="s">
        <v>90</v>
      </c>
      <c r="V10" s="843" t="s">
        <v>1144</v>
      </c>
      <c r="W10" s="843" t="s">
        <v>1142</v>
      </c>
      <c r="X10" s="844" t="s">
        <v>1143</v>
      </c>
      <c r="Y10" s="238" t="s">
        <v>1145</v>
      </c>
      <c r="Z10" s="2350" t="s">
        <v>89</v>
      </c>
      <c r="AA10" s="2349"/>
      <c r="AB10" s="976" t="s">
        <v>1146</v>
      </c>
      <c r="AE10" s="691">
        <v>41</v>
      </c>
    </row>
    <row r="11" spans="1:31" s="1565" customFormat="1" ht="5.25" hidden="1" customHeight="1">
      <c r="A11" s="979"/>
      <c r="B11" s="979"/>
      <c r="C11" s="979"/>
      <c r="E11" s="977"/>
      <c r="F11" s="2655" t="s">
        <v>395</v>
      </c>
      <c r="G11" s="2652"/>
      <c r="H11" s="2651"/>
      <c r="I11" s="2651"/>
      <c r="J11" s="2651"/>
      <c r="K11" s="2653"/>
      <c r="L11" s="2653"/>
      <c r="M11" s="2653"/>
      <c r="N11" s="2651"/>
      <c r="O11" s="2651"/>
      <c r="P11" s="2371"/>
      <c r="Q11" s="2439"/>
      <c r="R11" s="2439"/>
      <c r="S11" s="2439"/>
      <c r="T11" s="2651"/>
      <c r="U11" s="2439"/>
      <c r="V11" s="2439"/>
      <c r="W11" s="2439"/>
      <c r="X11" s="2651"/>
      <c r="Y11" s="2365"/>
      <c r="Z11" s="2365"/>
      <c r="AA11" s="2365"/>
      <c r="AB11" s="2365"/>
      <c r="AD11" s="447" t="s">
        <v>1147</v>
      </c>
      <c r="AE11" s="447">
        <v>0</v>
      </c>
    </row>
    <row r="12" spans="1:31" s="1565" customFormat="1" ht="5.25" hidden="1" customHeight="1">
      <c r="A12" s="824"/>
      <c r="B12" s="824"/>
      <c r="C12" s="824"/>
      <c r="E12" s="454"/>
      <c r="F12" s="2655"/>
      <c r="G12" s="2652"/>
      <c r="H12" s="2651"/>
      <c r="I12" s="2651"/>
      <c r="J12" s="2651"/>
      <c r="K12" s="2653"/>
      <c r="L12" s="2653"/>
      <c r="M12" s="2653"/>
      <c r="N12" s="2651"/>
      <c r="O12" s="2651"/>
      <c r="P12" s="2371"/>
      <c r="Q12" s="2439"/>
      <c r="R12" s="2439"/>
      <c r="S12" s="2439"/>
      <c r="T12" s="2651"/>
      <c r="U12" s="2439"/>
      <c r="V12" s="2439"/>
      <c r="W12" s="2439"/>
      <c r="X12" s="2651"/>
      <c r="Y12" s="2654"/>
      <c r="Z12" s="2654"/>
      <c r="AA12" s="2654"/>
      <c r="AB12" s="2654"/>
      <c r="AE12" s="447">
        <v>0</v>
      </c>
    </row>
    <row r="13" spans="1:31" ht="27" customHeight="1">
      <c r="D13" s="1083"/>
      <c r="E13" s="2362" t="s">
        <v>104</v>
      </c>
      <c r="F13" s="2645" t="s">
        <v>100</v>
      </c>
      <c r="G13" s="2646" t="s">
        <v>1148</v>
      </c>
      <c r="H13" s="2647" t="s">
        <v>63</v>
      </c>
      <c r="I13" s="2649">
        <v>41596.588969907411</v>
      </c>
      <c r="J13" s="2641">
        <v>46044.589328703703</v>
      </c>
      <c r="K13" s="2636" t="s">
        <v>1149</v>
      </c>
      <c r="L13" s="2637" t="s">
        <v>1150</v>
      </c>
      <c r="M13" s="2637" t="s">
        <v>1151</v>
      </c>
      <c r="N13" s="2643" t="s">
        <v>1152</v>
      </c>
      <c r="O13" s="2643" t="s">
        <v>1153</v>
      </c>
      <c r="P13" s="2644" t="str">
        <f>DATEDIF(DATEVALUE(N13),DATEVALUE(O13),"y")&amp;"г. "&amp;DATEDIF(DATEVALUE(N13),DATEVALUE(O13),"ym")&amp;"мес. "&amp;DATEVALUE(O13)-DATE(YEAR(DATEVALUE(O13)),MONTH(DATEVALUE(O13)),1)&amp;"дн. "</f>
        <v xml:space="preserve">12г. 11мес. 30дн. </v>
      </c>
      <c r="Q13" s="2638" t="s">
        <v>1154</v>
      </c>
      <c r="R13" s="2638" t="s">
        <v>1155</v>
      </c>
      <c r="S13" s="2638" t="s">
        <v>1156</v>
      </c>
      <c r="T13" s="2641" t="s">
        <v>1157</v>
      </c>
      <c r="U13" s="2638" t="s">
        <v>1158</v>
      </c>
      <c r="V13" s="2638" t="s">
        <v>1159</v>
      </c>
      <c r="W13" s="2638" t="s">
        <v>1160</v>
      </c>
      <c r="X13" s="2641">
        <v>46044.594641203701</v>
      </c>
      <c r="Y13" s="2639" t="s">
        <v>19</v>
      </c>
      <c r="Z13" s="1728"/>
      <c r="AA13" s="1712">
        <v>1</v>
      </c>
      <c r="AB13" s="2324" t="s">
        <v>22</v>
      </c>
      <c r="AD13" s="1559" t="s">
        <v>1161</v>
      </c>
    </row>
    <row r="14" spans="1:31" ht="10.5" customHeight="1">
      <c r="D14" s="1083"/>
      <c r="E14" s="2635"/>
      <c r="F14" s="2645" t="s">
        <v>395</v>
      </c>
      <c r="G14" s="2646"/>
      <c r="H14" s="2648"/>
      <c r="I14" s="2650"/>
      <c r="J14" s="2642"/>
      <c r="K14" s="2636"/>
      <c r="L14" s="2637"/>
      <c r="M14" s="2637"/>
      <c r="N14" s="2643"/>
      <c r="O14" s="2643"/>
      <c r="P14" s="2644"/>
      <c r="Q14" s="2638"/>
      <c r="R14" s="2638"/>
      <c r="S14" s="2638"/>
      <c r="T14" s="2642"/>
      <c r="U14" s="2638"/>
      <c r="V14" s="2638"/>
      <c r="W14" s="2638"/>
      <c r="X14" s="2642"/>
      <c r="Y14" s="2640"/>
      <c r="Z14" s="284"/>
      <c r="AA14" s="508"/>
      <c r="AB14" s="588" t="s">
        <v>1162</v>
      </c>
    </row>
    <row r="15" spans="1:31" ht="10.5" customHeight="1">
      <c r="F15" s="830"/>
      <c r="G15" s="586" t="s">
        <v>1163</v>
      </c>
      <c r="H15" s="1091"/>
      <c r="I15" s="508"/>
      <c r="J15" s="508"/>
      <c r="K15" s="508"/>
      <c r="L15" s="508"/>
      <c r="M15" s="508"/>
      <c r="N15" s="508"/>
      <c r="O15" s="508"/>
      <c r="P15" s="508"/>
      <c r="Q15" s="508"/>
      <c r="R15" s="508"/>
      <c r="S15" s="508"/>
      <c r="T15" s="508"/>
      <c r="U15" s="508"/>
      <c r="V15" s="508"/>
      <c r="W15" s="508"/>
      <c r="X15" s="508"/>
      <c r="Y15" s="508"/>
      <c r="Z15" s="632"/>
      <c r="AA15" s="632"/>
      <c r="AB15" s="845"/>
      <c r="AE15" s="691">
        <v>10</v>
      </c>
    </row>
    <row r="16" spans="1:31" ht="10.5" customHeight="1">
      <c r="AE16" s="691">
        <v>10</v>
      </c>
    </row>
    <row r="17" spans="1:31" s="1565" customFormat="1" ht="10.5" customHeight="1">
      <c r="A17" s="1090"/>
      <c r="B17" s="1090"/>
      <c r="C17" s="1090"/>
      <c r="E17" s="454"/>
      <c r="H17" s="447">
        <f>IFERROR(MATCH("нет",IP_MAIN_DIFFERENTIATION_EVENTS_FLAG,0),0)</f>
        <v>0</v>
      </c>
      <c r="AE17" s="447">
        <v>10</v>
      </c>
    </row>
    <row r="18" spans="1:31" ht="10.5" hidden="1" customHeight="1">
      <c r="A18" s="823" t="s">
        <v>83</v>
      </c>
      <c r="B18" s="823">
        <v>0</v>
      </c>
      <c r="C18" s="823">
        <v>0</v>
      </c>
      <c r="D18" s="353">
        <v>0</v>
      </c>
      <c r="E18" s="445">
        <v>3</v>
      </c>
      <c r="F18" s="691">
        <v>6</v>
      </c>
      <c r="G18" s="691">
        <v>37</v>
      </c>
      <c r="H18" s="1078">
        <v>16</v>
      </c>
      <c r="I18" s="691">
        <v>19</v>
      </c>
      <c r="J18" s="691">
        <v>19</v>
      </c>
      <c r="K18" s="691">
        <v>24</v>
      </c>
      <c r="L18" s="691">
        <v>25</v>
      </c>
      <c r="M18" s="691">
        <v>25</v>
      </c>
      <c r="N18" s="691">
        <v>17</v>
      </c>
      <c r="O18" s="691">
        <v>17</v>
      </c>
      <c r="P18" s="691">
        <v>17</v>
      </c>
      <c r="Q18" s="691">
        <v>19</v>
      </c>
      <c r="R18" s="691">
        <v>19</v>
      </c>
      <c r="S18" s="691">
        <v>19</v>
      </c>
      <c r="T18" s="691">
        <v>19</v>
      </c>
      <c r="U18" s="691">
        <v>19</v>
      </c>
      <c r="V18" s="691">
        <v>19</v>
      </c>
      <c r="W18" s="691">
        <v>19</v>
      </c>
      <c r="X18" s="691">
        <v>19</v>
      </c>
      <c r="Y18" s="691">
        <v>7</v>
      </c>
      <c r="Z18" s="691">
        <v>3</v>
      </c>
      <c r="AA18" s="691">
        <v>6</v>
      </c>
      <c r="AB18" s="691">
        <v>34</v>
      </c>
      <c r="AC18" s="691">
        <v>8</v>
      </c>
      <c r="AD18" s="691">
        <v>8</v>
      </c>
      <c r="AE18" s="691">
        <v>10</v>
      </c>
    </row>
  </sheetData>
  <sheetProtection formatColumns="0" formatRows="0" insertRows="0" deleteColumns="0" deleteRows="0" sort="0" autoFilter="0"/>
  <mergeCells count="60">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Y13:Y14"/>
    <mergeCell ref="S13:S14"/>
    <mergeCell ref="T13:T14"/>
    <mergeCell ref="M13:M14"/>
    <mergeCell ref="N13:N14"/>
    <mergeCell ref="O13:O14"/>
    <mergeCell ref="Q13:Q14"/>
    <mergeCell ref="R13:R14"/>
    <mergeCell ref="W13:W14"/>
    <mergeCell ref="X13:X14"/>
    <mergeCell ref="P13:P14"/>
    <mergeCell ref="E13:E14"/>
    <mergeCell ref="K13:K14"/>
    <mergeCell ref="L13:L14"/>
    <mergeCell ref="U13:U14"/>
    <mergeCell ref="V13:V14"/>
    <mergeCell ref="F13:F14"/>
    <mergeCell ref="G13:G14"/>
    <mergeCell ref="H13:H14"/>
    <mergeCell ref="I13:I14"/>
    <mergeCell ref="J13:J14"/>
  </mergeCells>
  <dataValidations count="15">
    <dataValidation allowBlank="1" showInputMessage="1" showErrorMessage="1" promptTitle="Ввод" prompt="Для выбора ИП необходимо два раза нажать левую кнопку мыши!" sqref="G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J1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K13">
      <formula1>"a"</formula1>
    </dataValidation>
    <dataValidation type="textLength" operator="lessThanOrEqual" allowBlank="1" showInputMessage="1" showErrorMessage="1" errorTitle="Ошибка" error="Допускается ввод не более 900 символов!" sqref="L13">
      <formula1>900</formula1>
    </dataValidation>
    <dataValidation type="textLength" operator="lessThanOrEqual" allowBlank="1" showInputMessage="1" showErrorMessage="1" errorTitle="Ошибка" error="Допускается ввод не более 900 символов!" sqref="M13">
      <formula1>900</formula1>
    </dataValidation>
    <dataValidation type="textLength" operator="lessThanOrEqual" allowBlank="1" showInputMessage="1" showErrorMessage="1" errorTitle="Ошибка" error="Допускается ввод не более 900 символов!" sqref="Q13">
      <formula1>900</formula1>
    </dataValidation>
    <dataValidation type="textLength" operator="lessThanOrEqual" allowBlank="1" showInputMessage="1" showErrorMessage="1" errorTitle="Ошибка" error="Допускается ввод не более 900 символов!" sqref="R13">
      <formula1>900</formula1>
    </dataValidation>
    <dataValidation type="textLength" operator="lessThanOrEqual" allowBlank="1" showInputMessage="1" showErrorMessage="1" errorTitle="Ошибка" error="Допускается ввод не более 900 символов!" sqref="S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13"/>
    <dataValidation type="textLength" operator="lessThanOrEqual" allowBlank="1" showInputMessage="1" showErrorMessage="1" errorTitle="Ошибка" error="Допускается ввод не более 900 символов!" sqref="U13">
      <formula1>900</formula1>
    </dataValidation>
    <dataValidation type="textLength" operator="lessThanOrEqual" allowBlank="1" showInputMessage="1" showErrorMessage="1" errorTitle="Ошибка" error="Допускается ввод не более 900 символов!" sqref="V13">
      <formula1>900</formula1>
    </dataValidation>
    <dataValidation type="textLength" operator="lessThanOrEqual" allowBlank="1" showInputMessage="1" showErrorMessage="1" errorTitle="Ошибка" error="Допускается ввод не более 900 символов!" sqref="W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13"/>
    <dataValidation type="textLength" operator="lessThanOrEqual" allowBlank="1" showInputMessage="1" showErrorMessage="1" errorTitle="Ошибка" error="Допускается ввод не более 900 символов!" sqref="AB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147"/>
  <sheetViews>
    <sheetView showGridLines="0" zoomScale="90" workbookViewId="0">
      <pane xSplit="8" ySplit="12" topLeftCell="I34" activePane="bottomRight" state="frozen"/>
      <selection pane="topRight" activeCell="I1" sqref="I1"/>
      <selection pane="bottomLeft" activeCell="A13" sqref="A13"/>
      <selection pane="bottomRight" activeCell="E93" sqref="E93"/>
    </sheetView>
  </sheetViews>
  <sheetFormatPr defaultColWidth="9.140625" defaultRowHeight="10.5" customHeight="1"/>
  <cols>
    <col min="1" max="3" width="4.140625" style="1089" hidden="1" customWidth="1"/>
    <col min="4" max="4" width="4.140625" style="1289" hidden="1" customWidth="1"/>
    <col min="5" max="5" width="3" style="1558" customWidth="1"/>
    <col min="6" max="6" width="14" style="1558" customWidth="1"/>
    <col min="7" max="7" width="3" style="1558" customWidth="1"/>
    <col min="8" max="8" width="7" style="1558" customWidth="1"/>
    <col min="9" max="9" width="66" style="1558" customWidth="1"/>
    <col min="10" max="10" width="16" style="1558" customWidth="1"/>
    <col min="11" max="11" width="25" style="1558" hidden="1" customWidth="1"/>
    <col min="12" max="12" width="7" style="1558" hidden="1" customWidth="1"/>
    <col min="13" max="13" width="15" style="1558" hidden="1" customWidth="1"/>
    <col min="14" max="14" width="3" style="1558" hidden="1" customWidth="1"/>
    <col min="15" max="15" width="4" style="1558" hidden="1" customWidth="1"/>
    <col min="16" max="16" width="8" style="1558" hidden="1" customWidth="1"/>
    <col min="17" max="17" width="21" style="1558" hidden="1" customWidth="1"/>
    <col min="18" max="18" width="14" style="1558" hidden="1" customWidth="1"/>
    <col min="19" max="20" width="17" style="1558" hidden="1" customWidth="1"/>
    <col min="21" max="21" width="9" style="1558" hidden="1" customWidth="1"/>
    <col min="22" max="22" width="12" style="1558" hidden="1" customWidth="1"/>
    <col min="23" max="23" width="9" style="1558" hidden="1" customWidth="1"/>
    <col min="24" max="24" width="21" style="1558" hidden="1" customWidth="1"/>
    <col min="25" max="25" width="12" style="1558" hidden="1" customWidth="1"/>
    <col min="26" max="26" width="3" style="1558" customWidth="1"/>
    <col min="27" max="27" width="6" style="1558" customWidth="1"/>
    <col min="28" max="28" width="38" style="1558" customWidth="1"/>
    <col min="29" max="29" width="15" style="1558" customWidth="1"/>
    <col min="30" max="30" width="37.5703125" style="1558" customWidth="1"/>
    <col min="31" max="31" width="15.7109375" style="1558" customWidth="1"/>
    <col min="32" max="34" width="16" style="1558" customWidth="1"/>
    <col min="35" max="37" width="16.7109375" style="1558" customWidth="1"/>
    <col min="38" max="58" width="8" style="1558" customWidth="1"/>
    <col min="59" max="59" width="9.140625" style="1558" hidden="1"/>
  </cols>
  <sheetData>
    <row r="1" spans="1:59" s="1289" customFormat="1" ht="10.5" hidden="1" customHeight="1">
      <c r="A1" s="823"/>
      <c r="B1" s="823"/>
      <c r="C1" s="823"/>
      <c r="E1" s="473"/>
      <c r="H1" s="1083"/>
      <c r="L1" s="1052"/>
      <c r="M1" s="1052"/>
      <c r="AD1" s="1052"/>
      <c r="AH1" s="1071"/>
      <c r="AI1" s="1064"/>
      <c r="BG1" s="353" t="s">
        <v>14</v>
      </c>
    </row>
    <row r="2" spans="1:59" ht="10.5" hidden="1" customHeight="1">
      <c r="BG2" s="691">
        <v>0</v>
      </c>
    </row>
    <row r="3" spans="1:59" s="1555" customFormat="1" ht="10.5" hidden="1" customHeight="1">
      <c r="A3" s="823"/>
      <c r="B3" s="823"/>
      <c r="C3" s="823"/>
      <c r="D3" s="353"/>
      <c r="E3" s="298"/>
      <c r="H3" s="1079"/>
      <c r="L3" s="1050"/>
      <c r="M3" s="1050"/>
      <c r="AD3" s="1050"/>
      <c r="AH3" s="1069"/>
      <c r="AI3" s="1062"/>
      <c r="BG3" s="692">
        <v>0</v>
      </c>
    </row>
    <row r="4" spans="1:59" ht="3" customHeight="1">
      <c r="BG4" s="691">
        <v>3</v>
      </c>
    </row>
    <row r="5" spans="1:59" ht="27.4" customHeight="1">
      <c r="F5" s="249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490"/>
      <c r="H5" s="2490"/>
      <c r="I5" s="2490"/>
      <c r="J5" s="2490"/>
      <c r="K5" s="2490"/>
      <c r="L5" s="1059"/>
      <c r="M5" s="1059"/>
      <c r="AG5" s="834"/>
      <c r="AH5" s="1072"/>
      <c r="BG5" s="691">
        <v>26</v>
      </c>
    </row>
    <row r="6" spans="1:59" ht="10.5" customHeight="1">
      <c r="F6" s="2436" t="str">
        <f>IF(org=0,"Не определено",org)</f>
        <v>ПАО "ТГК-2"</v>
      </c>
      <c r="G6" s="2436"/>
      <c r="H6" s="2436"/>
      <c r="I6" s="2436"/>
      <c r="J6" s="2436"/>
      <c r="K6" s="2436"/>
      <c r="L6" s="1060"/>
      <c r="M6" s="1060"/>
      <c r="BG6" s="691">
        <v>10</v>
      </c>
    </row>
    <row r="7" spans="1:59" ht="11.45" customHeight="1">
      <c r="E7" s="836"/>
      <c r="F7" s="847"/>
      <c r="G7" s="847"/>
      <c r="H7" s="1107"/>
      <c r="I7" s="847"/>
      <c r="J7" s="847"/>
      <c r="K7" s="849"/>
      <c r="L7" s="1057"/>
      <c r="M7" s="1057"/>
      <c r="N7" s="847"/>
      <c r="O7" s="847"/>
      <c r="P7" s="847"/>
      <c r="Q7" s="849"/>
      <c r="R7" s="847"/>
      <c r="S7" s="847"/>
      <c r="T7" s="847"/>
      <c r="U7" s="847"/>
      <c r="V7" s="847"/>
      <c r="W7" s="847"/>
      <c r="X7" s="847"/>
      <c r="Y7" s="847"/>
      <c r="Z7" s="847"/>
      <c r="AA7" s="847"/>
      <c r="AB7" s="847"/>
      <c r="AC7" s="848"/>
      <c r="AD7" s="1056"/>
      <c r="AE7" s="848"/>
      <c r="AF7" s="847"/>
      <c r="AG7" s="847"/>
      <c r="AH7" s="1074"/>
      <c r="AI7" s="1067"/>
      <c r="AJ7" s="847"/>
      <c r="AK7" s="847"/>
      <c r="AL7" s="838"/>
      <c r="AM7" s="838"/>
      <c r="AN7" s="838"/>
      <c r="AO7" s="835"/>
      <c r="AP7" s="835"/>
      <c r="AQ7" s="835"/>
      <c r="AR7" s="835"/>
      <c r="AS7" s="835"/>
      <c r="AT7" s="835"/>
      <c r="AU7" s="835"/>
      <c r="AV7" s="835"/>
      <c r="AW7" s="835"/>
      <c r="AX7" s="835"/>
      <c r="AY7" s="835"/>
      <c r="AZ7" s="835"/>
      <c r="BA7" s="835"/>
      <c r="BB7" s="835"/>
      <c r="BC7" s="835"/>
      <c r="BD7" s="835"/>
      <c r="BE7" s="835"/>
      <c r="BF7" s="835"/>
      <c r="BG7" s="691">
        <v>11</v>
      </c>
    </row>
    <row r="8" spans="1:59" ht="10.5" customHeight="1">
      <c r="E8" s="836"/>
      <c r="F8" s="2687" t="s">
        <v>319</v>
      </c>
      <c r="G8" s="2688"/>
      <c r="H8" s="2688"/>
      <c r="I8" s="2688"/>
      <c r="J8" s="2688"/>
      <c r="K8" s="2688"/>
      <c r="L8" s="2688"/>
      <c r="M8" s="2688"/>
      <c r="N8" s="2688"/>
      <c r="O8" s="2688"/>
      <c r="P8" s="2688"/>
      <c r="Q8" s="2688"/>
      <c r="R8" s="2688"/>
      <c r="S8" s="2688"/>
      <c r="T8" s="2688"/>
      <c r="U8" s="2688"/>
      <c r="V8" s="2688"/>
      <c r="W8" s="2688"/>
      <c r="X8" s="2688"/>
      <c r="Y8" s="2688"/>
      <c r="Z8" s="2688"/>
      <c r="AA8" s="2688"/>
      <c r="AB8" s="2688"/>
      <c r="AC8" s="2688"/>
      <c r="AD8" s="2688"/>
      <c r="AE8" s="2688"/>
      <c r="AF8" s="2688"/>
      <c r="AG8" s="2688"/>
      <c r="AH8" s="2688"/>
      <c r="AI8" s="2688"/>
      <c r="AJ8" s="2688"/>
      <c r="AK8" s="2689"/>
      <c r="AL8" s="837"/>
      <c r="AM8" s="835"/>
      <c r="AN8" s="835"/>
      <c r="AO8" s="835"/>
      <c r="AP8" s="835"/>
      <c r="AQ8" s="835"/>
      <c r="AR8" s="835"/>
      <c r="AS8" s="835"/>
      <c r="AT8" s="835"/>
      <c r="AU8" s="835"/>
      <c r="AV8" s="835"/>
      <c r="AW8" s="835"/>
      <c r="AX8" s="835"/>
      <c r="AY8" s="835"/>
      <c r="AZ8" s="835"/>
      <c r="BA8" s="835"/>
      <c r="BB8" s="835"/>
      <c r="BC8" s="835"/>
      <c r="BD8" s="835"/>
      <c r="BE8" s="835"/>
      <c r="BF8" s="835"/>
      <c r="BG8" s="691">
        <v>10</v>
      </c>
    </row>
    <row r="9" spans="1:59" ht="24" customHeight="1">
      <c r="A9" s="833"/>
      <c r="B9" s="833"/>
      <c r="C9" s="833"/>
      <c r="E9" s="836"/>
      <c r="F9" s="2466" t="s">
        <v>1164</v>
      </c>
      <c r="G9" s="2559" t="s">
        <v>1165</v>
      </c>
      <c r="H9" s="2625"/>
      <c r="I9" s="2371" t="s">
        <v>1166</v>
      </c>
      <c r="J9" s="2371"/>
      <c r="K9" s="2371" t="s">
        <v>1167</v>
      </c>
      <c r="L9" s="2371"/>
      <c r="M9" s="2371"/>
      <c r="N9" s="2371"/>
      <c r="O9" s="2371"/>
      <c r="P9" s="2371"/>
      <c r="Q9" s="2371"/>
      <c r="R9" s="2371"/>
      <c r="S9" s="2371"/>
      <c r="T9" s="2371"/>
      <c r="U9" s="2371"/>
      <c r="V9" s="2371"/>
      <c r="W9" s="2371"/>
      <c r="X9" s="2371"/>
      <c r="Y9" s="2371"/>
      <c r="Z9" s="2452" t="s">
        <v>1168</v>
      </c>
      <c r="AA9" s="2453"/>
      <c r="AB9" s="2371" t="s">
        <v>1169</v>
      </c>
      <c r="AC9" s="2371"/>
      <c r="AD9" s="2371"/>
      <c r="AE9" s="2371"/>
      <c r="AF9" s="2435" t="s">
        <v>1170</v>
      </c>
      <c r="AG9" s="2371" t="s">
        <v>1171</v>
      </c>
      <c r="AH9" s="2371"/>
      <c r="AI9" s="2435" t="s">
        <v>1172</v>
      </c>
      <c r="AJ9" s="2371" t="s">
        <v>1173</v>
      </c>
      <c r="AK9" s="2371"/>
      <c r="AL9" s="1066"/>
      <c r="AM9" s="835"/>
      <c r="AN9" s="835"/>
      <c r="AO9" s="835"/>
      <c r="AP9" s="835"/>
      <c r="AQ9" s="835"/>
      <c r="AR9" s="835"/>
      <c r="AS9" s="835"/>
      <c r="AT9" s="835"/>
      <c r="AU9" s="835"/>
      <c r="AV9" s="835"/>
      <c r="AW9" s="835"/>
      <c r="AX9" s="835"/>
      <c r="AY9" s="835"/>
      <c r="AZ9" s="835"/>
      <c r="BA9" s="835"/>
      <c r="BB9" s="835"/>
      <c r="BC9" s="835"/>
      <c r="BD9" s="835"/>
      <c r="BE9" s="835"/>
      <c r="BF9" s="835"/>
      <c r="BG9" s="691">
        <v>23</v>
      </c>
    </row>
    <row r="10" spans="1:59" ht="25.15" customHeight="1">
      <c r="A10" s="833"/>
      <c r="B10" s="833"/>
      <c r="C10" s="833"/>
      <c r="E10" s="840"/>
      <c r="F10" s="2466"/>
      <c r="G10" s="2560"/>
      <c r="H10" s="2470"/>
      <c r="I10" s="2371"/>
      <c r="J10" s="2371"/>
      <c r="K10" s="2371" t="s">
        <v>1174</v>
      </c>
      <c r="L10" s="2350" t="s">
        <v>1175</v>
      </c>
      <c r="M10" s="2349"/>
      <c r="N10" s="2371" t="s">
        <v>1176</v>
      </c>
      <c r="O10" s="2371"/>
      <c r="P10" s="2371"/>
      <c r="Q10" s="2371"/>
      <c r="R10" s="2371"/>
      <c r="S10" s="2371"/>
      <c r="T10" s="2371"/>
      <c r="U10" s="2371"/>
      <c r="V10" s="2371"/>
      <c r="W10" s="2371"/>
      <c r="X10" s="2371"/>
      <c r="Y10" s="2371"/>
      <c r="Z10" s="2454"/>
      <c r="AA10" s="2455"/>
      <c r="AB10" s="2371"/>
      <c r="AC10" s="2371"/>
      <c r="AD10" s="2371"/>
      <c r="AE10" s="2371"/>
      <c r="AF10" s="2456"/>
      <c r="AG10" s="2371"/>
      <c r="AH10" s="2371"/>
      <c r="AI10" s="2456"/>
      <c r="AJ10" s="2371"/>
      <c r="AK10" s="2371"/>
      <c r="AL10" s="1066"/>
      <c r="AM10" s="841"/>
      <c r="AN10" s="841"/>
      <c r="AO10" s="841"/>
      <c r="AP10" s="841"/>
      <c r="AQ10" s="841"/>
      <c r="AR10" s="841"/>
      <c r="AS10" s="841"/>
      <c r="AT10" s="841"/>
      <c r="AU10" s="841"/>
      <c r="AV10" s="841"/>
      <c r="AW10" s="841"/>
      <c r="AX10" s="841"/>
      <c r="AY10" s="841"/>
      <c r="AZ10" s="841"/>
      <c r="BA10" s="841"/>
      <c r="BB10" s="841"/>
      <c r="BC10" s="841"/>
      <c r="BD10" s="841"/>
      <c r="BE10" s="841"/>
      <c r="BF10" s="841"/>
      <c r="BG10" s="691">
        <v>24</v>
      </c>
    </row>
    <row r="11" spans="1:59" s="1558" customFormat="1" ht="25.15" customHeight="1">
      <c r="A11" s="1053"/>
      <c r="B11" s="1053"/>
      <c r="C11" s="1053"/>
      <c r="D11" s="1052"/>
      <c r="E11" s="1054"/>
      <c r="F11" s="2466"/>
      <c r="G11" s="2560"/>
      <c r="H11" s="2470"/>
      <c r="I11" s="2371"/>
      <c r="J11" s="2371"/>
      <c r="K11" s="2371"/>
      <c r="L11" s="2435" t="s">
        <v>1177</v>
      </c>
      <c r="M11" s="2435" t="s">
        <v>1178</v>
      </c>
      <c r="N11" s="2371" t="s">
        <v>1179</v>
      </c>
      <c r="O11" s="2371"/>
      <c r="P11" s="2415" t="s">
        <v>1145</v>
      </c>
      <c r="Q11" s="2415" t="s">
        <v>1180</v>
      </c>
      <c r="R11" s="2415" t="s">
        <v>1181</v>
      </c>
      <c r="S11" s="2415" t="s">
        <v>1182</v>
      </c>
      <c r="T11" s="2415"/>
      <c r="U11" s="2415"/>
      <c r="V11" s="2415"/>
      <c r="W11" s="2415"/>
      <c r="X11" s="2415"/>
      <c r="Y11" s="2415"/>
      <c r="Z11" s="2454"/>
      <c r="AA11" s="2455"/>
      <c r="AB11" s="2371" t="s">
        <v>1183</v>
      </c>
      <c r="AC11" s="2371"/>
      <c r="AD11" s="2350" t="s">
        <v>1184</v>
      </c>
      <c r="AE11" s="2349"/>
      <c r="AF11" s="2456"/>
      <c r="AG11" s="2371"/>
      <c r="AH11" s="2371"/>
      <c r="AI11" s="2456"/>
      <c r="AJ11" s="2371"/>
      <c r="AK11" s="2371"/>
      <c r="AL11" s="1066"/>
      <c r="AM11" s="1051"/>
      <c r="AN11" s="1051"/>
      <c r="AO11" s="1051"/>
      <c r="AP11" s="1051"/>
      <c r="AQ11" s="1051"/>
      <c r="AR11" s="1051"/>
      <c r="AS11" s="1051"/>
      <c r="AT11" s="1051"/>
      <c r="AU11" s="1051"/>
      <c r="AV11" s="1051"/>
      <c r="AW11" s="1051"/>
      <c r="AX11" s="1051"/>
      <c r="AY11" s="1051"/>
      <c r="AZ11" s="1051"/>
      <c r="BA11" s="1051"/>
      <c r="BB11" s="1051"/>
      <c r="BC11" s="1051"/>
      <c r="BD11" s="1051"/>
      <c r="BE11" s="1051"/>
      <c r="BF11" s="1051"/>
      <c r="BG11" s="1049">
        <v>24</v>
      </c>
    </row>
    <row r="12" spans="1:59" ht="35.65" customHeight="1">
      <c r="A12" s="833"/>
      <c r="B12" s="833"/>
      <c r="C12" s="833"/>
      <c r="E12" s="836"/>
      <c r="F12" s="2466"/>
      <c r="G12" s="2561"/>
      <c r="H12" s="2691"/>
      <c r="I12" s="1076" t="s">
        <v>90</v>
      </c>
      <c r="J12" s="1076" t="s">
        <v>1185</v>
      </c>
      <c r="K12" s="2371"/>
      <c r="L12" s="2485"/>
      <c r="M12" s="2485"/>
      <c r="N12" s="2371"/>
      <c r="O12" s="2371"/>
      <c r="P12" s="2415"/>
      <c r="Q12" s="2415"/>
      <c r="R12" s="2415"/>
      <c r="S12" s="1058" t="s">
        <v>87</v>
      </c>
      <c r="T12" s="1058" t="s">
        <v>88</v>
      </c>
      <c r="U12" s="1058" t="s">
        <v>86</v>
      </c>
      <c r="V12" s="1058" t="s">
        <v>1186</v>
      </c>
      <c r="W12" s="1058" t="s">
        <v>86</v>
      </c>
      <c r="X12" s="1058" t="s">
        <v>1187</v>
      </c>
      <c r="Y12" s="1058" t="s">
        <v>1188</v>
      </c>
      <c r="Z12" s="2457"/>
      <c r="AA12" s="2458"/>
      <c r="AB12" s="1065" t="s">
        <v>1189</v>
      </c>
      <c r="AC12" s="1065" t="s">
        <v>1190</v>
      </c>
      <c r="AD12" s="1065" t="s">
        <v>1189</v>
      </c>
      <c r="AE12" s="1065" t="s">
        <v>1190</v>
      </c>
      <c r="AF12" s="2485"/>
      <c r="AG12" s="1077" t="s">
        <v>1191</v>
      </c>
      <c r="AH12" s="1077" t="s">
        <v>1192</v>
      </c>
      <c r="AI12" s="2485"/>
      <c r="AJ12" s="1077" t="s">
        <v>1191</v>
      </c>
      <c r="AK12" s="1077" t="s">
        <v>1192</v>
      </c>
      <c r="AL12" s="1066"/>
      <c r="AM12" s="835"/>
      <c r="AN12" s="835"/>
      <c r="AO12" s="835"/>
      <c r="AP12" s="835"/>
      <c r="AQ12" s="835"/>
      <c r="AR12" s="835"/>
      <c r="AS12" s="835"/>
      <c r="AT12" s="835"/>
      <c r="AU12" s="835"/>
      <c r="AV12" s="835"/>
      <c r="AW12" s="835"/>
      <c r="AX12" s="835"/>
      <c r="AY12" s="835"/>
      <c r="AZ12" s="835"/>
      <c r="BA12" s="835"/>
      <c r="BB12" s="835"/>
      <c r="BC12" s="835"/>
      <c r="BD12" s="835"/>
      <c r="BE12" s="835"/>
      <c r="BF12" s="835"/>
      <c r="BG12" s="691">
        <v>34</v>
      </c>
    </row>
    <row r="13" spans="1:59" ht="1.1499999999999999" customHeight="1">
      <c r="E13" s="836"/>
      <c r="F13" s="1048">
        <v>0</v>
      </c>
      <c r="G13" s="1048"/>
      <c r="H13" s="1048"/>
      <c r="I13" s="1048"/>
      <c r="J13" s="1048"/>
      <c r="K13" s="1055"/>
      <c r="L13" s="1055"/>
      <c r="M13" s="1055"/>
      <c r="N13" s="1055"/>
      <c r="O13" s="1055"/>
      <c r="P13" s="1055"/>
      <c r="Q13" s="1055"/>
      <c r="R13" s="1055"/>
      <c r="S13" s="1055"/>
      <c r="T13" s="1055"/>
      <c r="U13" s="1055"/>
      <c r="V13" s="1055"/>
      <c r="W13" s="1055"/>
      <c r="X13" s="1055"/>
      <c r="Y13" s="1055"/>
      <c r="Z13" s="1055"/>
      <c r="AA13" s="1055"/>
      <c r="AB13" s="1055"/>
      <c r="AC13" s="1055"/>
      <c r="AD13" s="1055"/>
      <c r="AE13" s="1055"/>
      <c r="AF13" s="1055"/>
      <c r="AG13" s="1055"/>
      <c r="AH13" s="1073"/>
      <c r="AI13" s="1066"/>
      <c r="AJ13" s="1055"/>
      <c r="AK13" s="1055"/>
      <c r="AL13" s="837"/>
      <c r="AM13" s="835"/>
      <c r="AN13" s="835"/>
      <c r="AO13" s="835"/>
      <c r="AP13" s="835"/>
      <c r="AQ13" s="835"/>
      <c r="AR13" s="835"/>
      <c r="AS13" s="835"/>
      <c r="AT13" s="835"/>
      <c r="AU13" s="835"/>
      <c r="AV13" s="835"/>
      <c r="AW13" s="835"/>
      <c r="AX13" s="835"/>
      <c r="AY13" s="835"/>
      <c r="AZ13" s="835"/>
      <c r="BA13" s="835"/>
      <c r="BB13" s="835"/>
      <c r="BC13" s="835"/>
      <c r="BD13" s="835"/>
      <c r="BE13" s="835"/>
      <c r="BF13" s="835"/>
      <c r="BG13" s="691">
        <v>1</v>
      </c>
    </row>
    <row r="14" spans="1:59" ht="21" customHeight="1">
      <c r="A14" s="1090" t="s">
        <v>1161</v>
      </c>
      <c r="D14" s="1083"/>
      <c r="E14" s="1093" t="s">
        <v>22</v>
      </c>
      <c r="F14" s="1046" t="str">
        <f>INDEX(IP_MAIN_LIST_NAME_IP,MATCH(A14,IP_MAIN_LIST_IP_ID,0))&amp;" ("&amp;INDEX(IP_MAIN_START_DATE,MATCH(A14,IP_MAIN_LIST_IP_ID,0))&amp;"-"&amp;INDEX(IP_MAIN_END_DATE,MATCH(A14,IP_MAIN_LIST_IP_ID,0))&amp;")"</f>
        <v>Инвестиционная программа от 18.11.2013 ПАО "ТГК-2" в сфере теплоснабжения по строительству, реконструкции, модернизации и развитию систем теплоснабжения от котельных и тепловых сетей, на территории городского округа Архангельск на 2014-2026 годы (01.01.2014-31.12.2026)</v>
      </c>
      <c r="G14" s="1047"/>
      <c r="H14" s="1047"/>
      <c r="I14" s="1108"/>
      <c r="J14" s="1108"/>
      <c r="K14" s="1109"/>
      <c r="L14" s="1109"/>
      <c r="M14" s="1109"/>
      <c r="N14" s="1110"/>
      <c r="O14" s="1110"/>
      <c r="P14" s="1110"/>
      <c r="Q14" s="1110"/>
      <c r="R14" s="1110"/>
      <c r="S14" s="1110"/>
      <c r="T14" s="1110"/>
      <c r="U14" s="1110"/>
      <c r="V14" s="1110"/>
      <c r="W14" s="1110"/>
      <c r="X14" s="1110"/>
      <c r="Y14" s="1110"/>
      <c r="Z14" s="1110"/>
      <c r="AA14" s="1110"/>
      <c r="AB14" s="1110"/>
      <c r="AC14" s="1110"/>
      <c r="AD14" s="1110"/>
      <c r="AE14" s="1111"/>
      <c r="AF14" s="1109"/>
      <c r="AG14" s="1109"/>
      <c r="AH14" s="1109"/>
      <c r="AI14" s="1109"/>
      <c r="AJ14" s="1109"/>
      <c r="AK14" s="1109"/>
      <c r="AL14" s="1902"/>
      <c r="AM14" s="1742"/>
      <c r="AN14" s="1742"/>
      <c r="AO14" s="1742"/>
      <c r="AP14" s="1742"/>
      <c r="AQ14" s="1742"/>
      <c r="AR14" s="1742"/>
      <c r="AS14" s="1742"/>
      <c r="AT14" s="1742"/>
      <c r="AU14" s="1742"/>
      <c r="AV14" s="1742"/>
      <c r="AW14" s="1742"/>
      <c r="AX14" s="1742"/>
      <c r="AY14" s="1742"/>
      <c r="AZ14" s="1742"/>
      <c r="BA14" s="1742"/>
      <c r="BB14" s="1742"/>
      <c r="BC14" s="1742"/>
      <c r="BD14" s="1742"/>
      <c r="BE14" s="1742"/>
      <c r="BF14" s="1742"/>
    </row>
    <row r="15" spans="1:59" ht="0.75" customHeight="1">
      <c r="A15" s="1089" t="s">
        <v>1161</v>
      </c>
      <c r="D15" s="1083"/>
      <c r="E15" s="1093"/>
      <c r="F15" s="2674">
        <v>2014</v>
      </c>
      <c r="G15" s="2604"/>
      <c r="H15" s="2679" t="s">
        <v>395</v>
      </c>
      <c r="I15" s="2680"/>
      <c r="J15" s="2678"/>
      <c r="K15" s="2678"/>
      <c r="L15" s="2677"/>
      <c r="M15" s="2512"/>
      <c r="N15" s="1950"/>
      <c r="O15" s="1949"/>
      <c r="P15" s="1950"/>
      <c r="Q15" s="1950"/>
      <c r="R15" s="1950"/>
      <c r="S15" s="1950"/>
      <c r="T15" s="1950"/>
      <c r="U15" s="1950"/>
      <c r="V15" s="1950"/>
      <c r="W15" s="1950"/>
      <c r="X15" s="1950"/>
      <c r="Y15" s="1950"/>
      <c r="Z15" s="1950"/>
      <c r="AA15" s="1950"/>
      <c r="AB15" s="1950"/>
      <c r="AC15" s="1950"/>
      <c r="AD15" s="1950"/>
      <c r="AE15" s="1950"/>
      <c r="AF15" s="2676"/>
      <c r="AG15" s="2677"/>
      <c r="AH15" s="2677"/>
      <c r="AI15" s="2676"/>
      <c r="AJ15" s="2677"/>
      <c r="AK15" s="2677"/>
      <c r="AL15" s="1902"/>
      <c r="AM15" s="1742"/>
      <c r="AN15" s="1742"/>
      <c r="AO15" s="1742"/>
      <c r="AP15" s="1742"/>
      <c r="AQ15" s="1742"/>
      <c r="AR15" s="1742"/>
      <c r="AS15" s="1742"/>
      <c r="AT15" s="1742"/>
      <c r="AU15" s="1742"/>
      <c r="AV15" s="1742"/>
      <c r="AW15" s="1742"/>
      <c r="AX15" s="1742"/>
      <c r="AY15" s="1742"/>
      <c r="AZ15" s="1742"/>
      <c r="BA15" s="1742"/>
      <c r="BB15" s="1742"/>
      <c r="BC15" s="1742"/>
      <c r="BD15" s="1742"/>
      <c r="BE15" s="1742"/>
      <c r="BF15" s="1742"/>
    </row>
    <row r="16" spans="1:59" ht="0.75" customHeight="1">
      <c r="A16" s="1089" t="s">
        <v>1161</v>
      </c>
      <c r="D16" s="1083"/>
      <c r="E16" s="1093"/>
      <c r="F16" s="2674"/>
      <c r="G16" s="2604"/>
      <c r="H16" s="2679"/>
      <c r="I16" s="2680"/>
      <c r="J16" s="2678"/>
      <c r="K16" s="2678"/>
      <c r="L16" s="2677"/>
      <c r="M16" s="2512"/>
      <c r="N16" s="2681"/>
      <c r="O16" s="2682"/>
      <c r="P16" s="2683"/>
      <c r="Q16" s="2678"/>
      <c r="R16" s="2678"/>
      <c r="S16" s="2678"/>
      <c r="T16" s="2678"/>
      <c r="U16" s="2678"/>
      <c r="V16" s="2678"/>
      <c r="W16" s="2678"/>
      <c r="X16" s="2678"/>
      <c r="Y16" s="2678"/>
      <c r="Z16" s="1951"/>
      <c r="AA16" s="1952"/>
      <c r="AB16" s="1952"/>
      <c r="AC16" s="1953"/>
      <c r="AD16" s="1953"/>
      <c r="AE16" s="1954"/>
      <c r="AF16" s="2676"/>
      <c r="AG16" s="2677"/>
      <c r="AH16" s="2677"/>
      <c r="AI16" s="2676"/>
      <c r="AJ16" s="2677"/>
      <c r="AK16" s="2677"/>
      <c r="AL16" s="1902"/>
      <c r="AM16" s="1742"/>
      <c r="AN16" s="1742"/>
      <c r="AO16" s="1742"/>
      <c r="AP16" s="1742"/>
      <c r="AQ16" s="1742"/>
      <c r="AR16" s="1742"/>
      <c r="AS16" s="1742"/>
      <c r="AT16" s="1742"/>
      <c r="AU16" s="1742"/>
      <c r="AV16" s="1742"/>
      <c r="AW16" s="1742"/>
      <c r="AX16" s="1742"/>
      <c r="AY16" s="1742"/>
      <c r="AZ16" s="1742"/>
      <c r="BA16" s="1742"/>
      <c r="BB16" s="1742"/>
      <c r="BC16" s="1742"/>
      <c r="BD16" s="1742"/>
      <c r="BE16" s="1742"/>
      <c r="BF16" s="1742"/>
    </row>
    <row r="17" spans="1:58" ht="0.75" customHeight="1">
      <c r="A17" s="1089" t="s">
        <v>1161</v>
      </c>
      <c r="D17" s="1083"/>
      <c r="E17" s="1093"/>
      <c r="F17" s="2674"/>
      <c r="G17" s="2604"/>
      <c r="H17" s="2679"/>
      <c r="I17" s="2680"/>
      <c r="J17" s="2678"/>
      <c r="K17" s="2678"/>
      <c r="L17" s="2677"/>
      <c r="M17" s="2512"/>
      <c r="N17" s="2681"/>
      <c r="O17" s="2682"/>
      <c r="P17" s="2684"/>
      <c r="Q17" s="2678"/>
      <c r="R17" s="2678"/>
      <c r="S17" s="2678"/>
      <c r="T17" s="2678"/>
      <c r="U17" s="2678"/>
      <c r="V17" s="2678"/>
      <c r="W17" s="2678"/>
      <c r="X17" s="2678"/>
      <c r="Y17" s="2678"/>
      <c r="Z17" s="1955"/>
      <c r="AA17" s="1956"/>
      <c r="AB17" s="1957"/>
      <c r="AC17" s="1958"/>
      <c r="AD17" s="1957"/>
      <c r="AE17" s="1958"/>
      <c r="AF17" s="2676"/>
      <c r="AG17" s="2677"/>
      <c r="AH17" s="2677"/>
      <c r="AI17" s="2676"/>
      <c r="AJ17" s="2677"/>
      <c r="AK17" s="2677"/>
      <c r="AL17" s="1902"/>
      <c r="AM17" s="1742"/>
      <c r="AN17" s="1742"/>
      <c r="AO17" s="1742"/>
      <c r="AP17" s="1742"/>
      <c r="AQ17" s="1742"/>
      <c r="AR17" s="1742"/>
      <c r="AS17" s="1742"/>
      <c r="AT17" s="1742"/>
      <c r="AU17" s="1742"/>
      <c r="AV17" s="1742"/>
      <c r="AW17" s="1742"/>
      <c r="AX17" s="1742"/>
      <c r="AY17" s="1742"/>
      <c r="AZ17" s="1742"/>
      <c r="BA17" s="1742"/>
      <c r="BB17" s="1742"/>
      <c r="BC17" s="1742"/>
      <c r="BD17" s="1742"/>
      <c r="BE17" s="1742"/>
      <c r="BF17" s="1742"/>
    </row>
    <row r="18" spans="1:58" ht="0.75" customHeight="1">
      <c r="A18" s="1089" t="s">
        <v>1161</v>
      </c>
      <c r="D18" s="1083"/>
      <c r="E18" s="1093"/>
      <c r="F18" s="2674"/>
      <c r="G18" s="2604"/>
      <c r="H18" s="2679"/>
      <c r="I18" s="2680"/>
      <c r="J18" s="2678"/>
      <c r="K18" s="2678"/>
      <c r="L18" s="2677"/>
      <c r="M18" s="2512"/>
      <c r="N18" s="2681"/>
      <c r="O18" s="2682"/>
      <c r="P18" s="2685"/>
      <c r="Q18" s="2678"/>
      <c r="R18" s="2678"/>
      <c r="S18" s="2678"/>
      <c r="T18" s="2678"/>
      <c r="U18" s="2678"/>
      <c r="V18" s="2678"/>
      <c r="W18" s="2678"/>
      <c r="X18" s="2678"/>
      <c r="Y18" s="2678"/>
      <c r="Z18" s="1951"/>
      <c r="AA18" s="1952"/>
      <c r="AB18" s="1959"/>
      <c r="AC18" s="1953"/>
      <c r="AD18" s="1953"/>
      <c r="AE18" s="1960"/>
      <c r="AF18" s="2676"/>
      <c r="AG18" s="2677"/>
      <c r="AH18" s="2677"/>
      <c r="AI18" s="2676"/>
      <c r="AJ18" s="2677"/>
      <c r="AK18" s="2677"/>
      <c r="AL18" s="1902"/>
      <c r="AM18" s="1742"/>
      <c r="AN18" s="1742"/>
      <c r="AO18" s="1742"/>
      <c r="AP18" s="1742"/>
      <c r="AQ18" s="1742"/>
      <c r="AR18" s="1742"/>
      <c r="AS18" s="1742"/>
      <c r="AT18" s="1742"/>
      <c r="AU18" s="1742"/>
      <c r="AV18" s="1742"/>
      <c r="AW18" s="1742"/>
      <c r="AX18" s="1742"/>
      <c r="AY18" s="1742"/>
      <c r="AZ18" s="1742"/>
      <c r="BA18" s="1742"/>
      <c r="BB18" s="1742"/>
      <c r="BC18" s="1742"/>
      <c r="BD18" s="1742"/>
      <c r="BE18" s="1742"/>
      <c r="BF18" s="1742"/>
    </row>
    <row r="19" spans="1:58" ht="0.75" customHeight="1">
      <c r="A19" s="1089" t="s">
        <v>1161</v>
      </c>
      <c r="D19" s="1083"/>
      <c r="E19" s="1093"/>
      <c r="F19" s="2674"/>
      <c r="G19" s="2604"/>
      <c r="H19" s="2679"/>
      <c r="I19" s="2680"/>
      <c r="J19" s="2678"/>
      <c r="K19" s="2678"/>
      <c r="L19" s="2677"/>
      <c r="M19" s="2512"/>
      <c r="N19" s="1952"/>
      <c r="O19" s="1952"/>
      <c r="P19" s="1959"/>
      <c r="Q19" s="1952"/>
      <c r="R19" s="1952"/>
      <c r="S19" s="1952"/>
      <c r="T19" s="1952"/>
      <c r="U19" s="1952"/>
      <c r="V19" s="1952"/>
      <c r="W19" s="1952"/>
      <c r="X19" s="1952"/>
      <c r="Y19" s="1952"/>
      <c r="Z19" s="1952"/>
      <c r="AA19" s="1952"/>
      <c r="AB19" s="1952"/>
      <c r="AC19" s="1952"/>
      <c r="AD19" s="1952"/>
      <c r="AE19" s="1961"/>
      <c r="AF19" s="2676"/>
      <c r="AG19" s="2677"/>
      <c r="AH19" s="2677"/>
      <c r="AI19" s="2676"/>
      <c r="AJ19" s="2677"/>
      <c r="AK19" s="2677"/>
      <c r="AL19" s="1902"/>
      <c r="AM19" s="1742"/>
      <c r="AN19" s="1742"/>
      <c r="AO19" s="1742"/>
      <c r="AP19" s="1742"/>
      <c r="AQ19" s="1742"/>
      <c r="AR19" s="1742"/>
      <c r="AS19" s="1742"/>
      <c r="AT19" s="1742"/>
      <c r="AU19" s="1742"/>
      <c r="AV19" s="1742"/>
      <c r="AW19" s="1742"/>
      <c r="AX19" s="1742"/>
      <c r="AY19" s="1742"/>
      <c r="AZ19" s="1742"/>
      <c r="BA19" s="1742"/>
      <c r="BB19" s="1742"/>
      <c r="BC19" s="1742"/>
      <c r="BD19" s="1742"/>
      <c r="BE19" s="1742"/>
      <c r="BF19" s="1742"/>
    </row>
    <row r="20" spans="1:58" ht="12" customHeight="1">
      <c r="A20" s="1089" t="s">
        <v>1161</v>
      </c>
      <c r="D20" s="1083"/>
      <c r="E20" s="1093"/>
      <c r="F20" s="2675"/>
      <c r="G20" s="1113"/>
      <c r="H20" s="1113"/>
      <c r="I20" s="2673" t="s">
        <v>1193</v>
      </c>
      <c r="J20" s="2673"/>
      <c r="K20" s="2673"/>
      <c r="L20" s="1096"/>
      <c r="M20" s="1096"/>
      <c r="N20" s="1097"/>
      <c r="O20" s="1097"/>
      <c r="P20" s="1097"/>
      <c r="Q20" s="1097"/>
      <c r="R20" s="1097"/>
      <c r="S20" s="1097"/>
      <c r="T20" s="1097"/>
      <c r="U20" s="1097"/>
      <c r="V20" s="1097"/>
      <c r="W20" s="1097"/>
      <c r="X20" s="1097"/>
      <c r="Y20" s="1097"/>
      <c r="Z20" s="1097"/>
      <c r="AA20" s="1097"/>
      <c r="AB20" s="1097"/>
      <c r="AC20" s="1097"/>
      <c r="AD20" s="1097"/>
      <c r="AE20" s="1097"/>
      <c r="AF20" s="1097"/>
      <c r="AG20" s="1096"/>
      <c r="AH20" s="1096"/>
      <c r="AI20" s="1097"/>
      <c r="AJ20" s="1096"/>
      <c r="AK20" s="1097"/>
      <c r="AL20" s="1902"/>
      <c r="AM20" s="1742"/>
      <c r="AN20" s="1742"/>
      <c r="AO20" s="1742"/>
      <c r="AP20" s="1742"/>
      <c r="AQ20" s="1742"/>
      <c r="AR20" s="1742"/>
      <c r="AS20" s="1742"/>
      <c r="AT20" s="1742"/>
      <c r="AU20" s="1742"/>
      <c r="AV20" s="1742"/>
      <c r="AW20" s="1742"/>
      <c r="AX20" s="1742"/>
      <c r="AY20" s="1742"/>
      <c r="AZ20" s="1742"/>
      <c r="BA20" s="1742"/>
      <c r="BB20" s="1742"/>
      <c r="BC20" s="1742"/>
      <c r="BD20" s="1742"/>
      <c r="BE20" s="1742"/>
      <c r="BF20" s="1742"/>
    </row>
    <row r="21" spans="1:58" ht="0.75" customHeight="1">
      <c r="A21" s="1089" t="s">
        <v>1161</v>
      </c>
      <c r="D21" s="1083"/>
      <c r="E21" s="1093"/>
      <c r="F21" s="2674">
        <v>2015</v>
      </c>
      <c r="G21" s="2604"/>
      <c r="H21" s="2679" t="s">
        <v>395</v>
      </c>
      <c r="I21" s="2680"/>
      <c r="J21" s="2678"/>
      <c r="K21" s="2678"/>
      <c r="L21" s="2677"/>
      <c r="M21" s="2512"/>
      <c r="N21" s="1950"/>
      <c r="O21" s="1949"/>
      <c r="P21" s="1950"/>
      <c r="Q21" s="1950"/>
      <c r="R21" s="1950"/>
      <c r="S21" s="1950"/>
      <c r="T21" s="1950"/>
      <c r="U21" s="1950"/>
      <c r="V21" s="1950"/>
      <c r="W21" s="1950"/>
      <c r="X21" s="1950"/>
      <c r="Y21" s="1950"/>
      <c r="Z21" s="1950"/>
      <c r="AA21" s="1950"/>
      <c r="AB21" s="1950"/>
      <c r="AC21" s="1950"/>
      <c r="AD21" s="1950"/>
      <c r="AE21" s="1950"/>
      <c r="AF21" s="2676"/>
      <c r="AG21" s="2677"/>
      <c r="AH21" s="2677"/>
      <c r="AI21" s="2676"/>
      <c r="AJ21" s="2677"/>
      <c r="AK21" s="2677"/>
      <c r="AL21" s="1902"/>
      <c r="AM21" s="1742"/>
      <c r="AN21" s="1742"/>
      <c r="AO21" s="1742"/>
      <c r="AP21" s="1742"/>
      <c r="AQ21" s="1742"/>
      <c r="AR21" s="1742"/>
      <c r="AS21" s="1742"/>
      <c r="AT21" s="1742"/>
      <c r="AU21" s="1742"/>
      <c r="AV21" s="1742"/>
      <c r="AW21" s="1742"/>
      <c r="AX21" s="1742"/>
      <c r="AY21" s="1742"/>
      <c r="AZ21" s="1742"/>
      <c r="BA21" s="1742"/>
      <c r="BB21" s="1742"/>
      <c r="BC21" s="1742"/>
      <c r="BD21" s="1742"/>
      <c r="BE21" s="1742"/>
      <c r="BF21" s="1742"/>
    </row>
    <row r="22" spans="1:58" ht="0.75" customHeight="1">
      <c r="A22" s="1089" t="s">
        <v>1161</v>
      </c>
      <c r="D22" s="1083"/>
      <c r="E22" s="1093"/>
      <c r="F22" s="2674"/>
      <c r="G22" s="2604"/>
      <c r="H22" s="2679"/>
      <c r="I22" s="2680"/>
      <c r="J22" s="2678"/>
      <c r="K22" s="2678"/>
      <c r="L22" s="2677"/>
      <c r="M22" s="2512"/>
      <c r="N22" s="2681"/>
      <c r="O22" s="2682"/>
      <c r="P22" s="2683"/>
      <c r="Q22" s="2678"/>
      <c r="R22" s="2678"/>
      <c r="S22" s="2678"/>
      <c r="T22" s="2678"/>
      <c r="U22" s="2678"/>
      <c r="V22" s="2678"/>
      <c r="W22" s="2678"/>
      <c r="X22" s="2678"/>
      <c r="Y22" s="2678"/>
      <c r="Z22" s="1951"/>
      <c r="AA22" s="1952"/>
      <c r="AB22" s="1952"/>
      <c r="AC22" s="1953"/>
      <c r="AD22" s="1953"/>
      <c r="AE22" s="1954"/>
      <c r="AF22" s="2676"/>
      <c r="AG22" s="2677"/>
      <c r="AH22" s="2677"/>
      <c r="AI22" s="2676"/>
      <c r="AJ22" s="2677"/>
      <c r="AK22" s="2677"/>
      <c r="AL22" s="1902"/>
      <c r="AM22" s="1742"/>
      <c r="AN22" s="1742"/>
      <c r="AO22" s="1742"/>
      <c r="AP22" s="1742"/>
      <c r="AQ22" s="1742"/>
      <c r="AR22" s="1742"/>
      <c r="AS22" s="1742"/>
      <c r="AT22" s="1742"/>
      <c r="AU22" s="1742"/>
      <c r="AV22" s="1742"/>
      <c r="AW22" s="1742"/>
      <c r="AX22" s="1742"/>
      <c r="AY22" s="1742"/>
      <c r="AZ22" s="1742"/>
      <c r="BA22" s="1742"/>
      <c r="BB22" s="1742"/>
      <c r="BC22" s="1742"/>
      <c r="BD22" s="1742"/>
      <c r="BE22" s="1742"/>
      <c r="BF22" s="1742"/>
    </row>
    <row r="23" spans="1:58" ht="0.75" customHeight="1">
      <c r="A23" s="1089" t="s">
        <v>1161</v>
      </c>
      <c r="D23" s="1083"/>
      <c r="E23" s="1093"/>
      <c r="F23" s="2674"/>
      <c r="G23" s="2604"/>
      <c r="H23" s="2679"/>
      <c r="I23" s="2680"/>
      <c r="J23" s="2678"/>
      <c r="K23" s="2678"/>
      <c r="L23" s="2677"/>
      <c r="M23" s="2512"/>
      <c r="N23" s="2681"/>
      <c r="O23" s="2682"/>
      <c r="P23" s="2684"/>
      <c r="Q23" s="2678"/>
      <c r="R23" s="2678"/>
      <c r="S23" s="2678"/>
      <c r="T23" s="2678"/>
      <c r="U23" s="2678"/>
      <c r="V23" s="2678"/>
      <c r="W23" s="2678"/>
      <c r="X23" s="2678"/>
      <c r="Y23" s="2678"/>
      <c r="Z23" s="1955"/>
      <c r="AA23" s="1956"/>
      <c r="AB23" s="1957"/>
      <c r="AC23" s="1958"/>
      <c r="AD23" s="1957"/>
      <c r="AE23" s="1958"/>
      <c r="AF23" s="2676"/>
      <c r="AG23" s="2677"/>
      <c r="AH23" s="2677"/>
      <c r="AI23" s="2676"/>
      <c r="AJ23" s="2677"/>
      <c r="AK23" s="2677"/>
      <c r="AL23" s="1902"/>
      <c r="AM23" s="1742"/>
      <c r="AN23" s="1742"/>
      <c r="AO23" s="1742"/>
      <c r="AP23" s="1742"/>
      <c r="AQ23" s="1742"/>
      <c r="AR23" s="1742"/>
      <c r="AS23" s="1742"/>
      <c r="AT23" s="1742"/>
      <c r="AU23" s="1742"/>
      <c r="AV23" s="1742"/>
      <c r="AW23" s="1742"/>
      <c r="AX23" s="1742"/>
      <c r="AY23" s="1742"/>
      <c r="AZ23" s="1742"/>
      <c r="BA23" s="1742"/>
      <c r="BB23" s="1742"/>
      <c r="BC23" s="1742"/>
      <c r="BD23" s="1742"/>
      <c r="BE23" s="1742"/>
      <c r="BF23" s="1742"/>
    </row>
    <row r="24" spans="1:58" ht="0.75" customHeight="1">
      <c r="A24" s="1089" t="s">
        <v>1161</v>
      </c>
      <c r="D24" s="1083"/>
      <c r="E24" s="1093"/>
      <c r="F24" s="2674"/>
      <c r="G24" s="2604"/>
      <c r="H24" s="2679"/>
      <c r="I24" s="2680"/>
      <c r="J24" s="2678"/>
      <c r="K24" s="2678"/>
      <c r="L24" s="2677"/>
      <c r="M24" s="2512"/>
      <c r="N24" s="2681"/>
      <c r="O24" s="2682"/>
      <c r="P24" s="2685"/>
      <c r="Q24" s="2678"/>
      <c r="R24" s="2678"/>
      <c r="S24" s="2678"/>
      <c r="T24" s="2678"/>
      <c r="U24" s="2678"/>
      <c r="V24" s="2678"/>
      <c r="W24" s="2678"/>
      <c r="X24" s="2678"/>
      <c r="Y24" s="2678"/>
      <c r="Z24" s="1951"/>
      <c r="AA24" s="1952"/>
      <c r="AB24" s="1959"/>
      <c r="AC24" s="1953"/>
      <c r="AD24" s="1953"/>
      <c r="AE24" s="1960"/>
      <c r="AF24" s="2676"/>
      <c r="AG24" s="2677"/>
      <c r="AH24" s="2677"/>
      <c r="AI24" s="2676"/>
      <c r="AJ24" s="2677"/>
      <c r="AK24" s="2677"/>
      <c r="AL24" s="1902"/>
      <c r="AM24" s="1742"/>
      <c r="AN24" s="1742"/>
      <c r="AO24" s="1742"/>
      <c r="AP24" s="1742"/>
      <c r="AQ24" s="1742"/>
      <c r="AR24" s="1742"/>
      <c r="AS24" s="1742"/>
      <c r="AT24" s="1742"/>
      <c r="AU24" s="1742"/>
      <c r="AV24" s="1742"/>
      <c r="AW24" s="1742"/>
      <c r="AX24" s="1742"/>
      <c r="AY24" s="1742"/>
      <c r="AZ24" s="1742"/>
      <c r="BA24" s="1742"/>
      <c r="BB24" s="1742"/>
      <c r="BC24" s="1742"/>
      <c r="BD24" s="1742"/>
      <c r="BE24" s="1742"/>
      <c r="BF24" s="1742"/>
    </row>
    <row r="25" spans="1:58" ht="0.75" customHeight="1">
      <c r="A25" s="1089" t="s">
        <v>1161</v>
      </c>
      <c r="D25" s="1083"/>
      <c r="E25" s="1093"/>
      <c r="F25" s="2674"/>
      <c r="G25" s="2604"/>
      <c r="H25" s="2679"/>
      <c r="I25" s="2680"/>
      <c r="J25" s="2678"/>
      <c r="K25" s="2678"/>
      <c r="L25" s="2677"/>
      <c r="M25" s="2512"/>
      <c r="N25" s="1952"/>
      <c r="O25" s="1952"/>
      <c r="P25" s="1959"/>
      <c r="Q25" s="1952"/>
      <c r="R25" s="1952"/>
      <c r="S25" s="1952"/>
      <c r="T25" s="1952"/>
      <c r="U25" s="1952"/>
      <c r="V25" s="1952"/>
      <c r="W25" s="1952"/>
      <c r="X25" s="1952"/>
      <c r="Y25" s="1952"/>
      <c r="Z25" s="1952"/>
      <c r="AA25" s="1952"/>
      <c r="AB25" s="1952"/>
      <c r="AC25" s="1952"/>
      <c r="AD25" s="1952"/>
      <c r="AE25" s="1961"/>
      <c r="AF25" s="2676"/>
      <c r="AG25" s="2677"/>
      <c r="AH25" s="2677"/>
      <c r="AI25" s="2676"/>
      <c r="AJ25" s="2677"/>
      <c r="AK25" s="2677"/>
      <c r="AL25" s="1902"/>
      <c r="AM25" s="1742"/>
      <c r="AN25" s="1742"/>
      <c r="AO25" s="1742"/>
      <c r="AP25" s="1742"/>
      <c r="AQ25" s="1742"/>
      <c r="AR25" s="1742"/>
      <c r="AS25" s="1742"/>
      <c r="AT25" s="1742"/>
      <c r="AU25" s="1742"/>
      <c r="AV25" s="1742"/>
      <c r="AW25" s="1742"/>
      <c r="AX25" s="1742"/>
      <c r="AY25" s="1742"/>
      <c r="AZ25" s="1742"/>
      <c r="BA25" s="1742"/>
      <c r="BB25" s="1742"/>
      <c r="BC25" s="1742"/>
      <c r="BD25" s="1742"/>
      <c r="BE25" s="1742"/>
      <c r="BF25" s="1742"/>
    </row>
    <row r="26" spans="1:58" ht="12" customHeight="1">
      <c r="A26" s="1089" t="s">
        <v>1161</v>
      </c>
      <c r="D26" s="1083"/>
      <c r="E26" s="1093"/>
      <c r="F26" s="2675"/>
      <c r="G26" s="1113"/>
      <c r="H26" s="1113"/>
      <c r="I26" s="2673" t="s">
        <v>1193</v>
      </c>
      <c r="J26" s="2673"/>
      <c r="K26" s="2673"/>
      <c r="L26" s="1096"/>
      <c r="M26" s="1096"/>
      <c r="N26" s="1097"/>
      <c r="O26" s="1097"/>
      <c r="P26" s="1097"/>
      <c r="Q26" s="1097"/>
      <c r="R26" s="1097"/>
      <c r="S26" s="1097"/>
      <c r="T26" s="1097"/>
      <c r="U26" s="1097"/>
      <c r="V26" s="1097"/>
      <c r="W26" s="1097"/>
      <c r="X26" s="1097"/>
      <c r="Y26" s="1097"/>
      <c r="Z26" s="1097"/>
      <c r="AA26" s="1097"/>
      <c r="AB26" s="1097"/>
      <c r="AC26" s="1097"/>
      <c r="AD26" s="1097"/>
      <c r="AE26" s="1097"/>
      <c r="AF26" s="1097"/>
      <c r="AG26" s="1096"/>
      <c r="AH26" s="1096"/>
      <c r="AI26" s="1097"/>
      <c r="AJ26" s="1096"/>
      <c r="AK26" s="1097"/>
      <c r="AL26" s="1902"/>
      <c r="AM26" s="1742"/>
      <c r="AN26" s="1742"/>
      <c r="AO26" s="1742"/>
      <c r="AP26" s="1742"/>
      <c r="AQ26" s="1742"/>
      <c r="AR26" s="1742"/>
      <c r="AS26" s="1742"/>
      <c r="AT26" s="1742"/>
      <c r="AU26" s="1742"/>
      <c r="AV26" s="1742"/>
      <c r="AW26" s="1742"/>
      <c r="AX26" s="1742"/>
      <c r="AY26" s="1742"/>
      <c r="AZ26" s="1742"/>
      <c r="BA26" s="1742"/>
      <c r="BB26" s="1742"/>
      <c r="BC26" s="1742"/>
      <c r="BD26" s="1742"/>
      <c r="BE26" s="1742"/>
      <c r="BF26" s="1742"/>
    </row>
    <row r="27" spans="1:58" ht="0.75" customHeight="1">
      <c r="A27" s="1089" t="s">
        <v>1161</v>
      </c>
      <c r="D27" s="1083"/>
      <c r="E27" s="1093"/>
      <c r="F27" s="2674">
        <v>2016</v>
      </c>
      <c r="G27" s="2604"/>
      <c r="H27" s="2679" t="s">
        <v>395</v>
      </c>
      <c r="I27" s="2680"/>
      <c r="J27" s="2678"/>
      <c r="K27" s="2678"/>
      <c r="L27" s="2677"/>
      <c r="M27" s="2512"/>
      <c r="N27" s="1950"/>
      <c r="O27" s="1949"/>
      <c r="P27" s="1950"/>
      <c r="Q27" s="1950"/>
      <c r="R27" s="1950"/>
      <c r="S27" s="1950"/>
      <c r="T27" s="1950"/>
      <c r="U27" s="1950"/>
      <c r="V27" s="1950"/>
      <c r="W27" s="1950"/>
      <c r="X27" s="1950"/>
      <c r="Y27" s="1950"/>
      <c r="Z27" s="1950"/>
      <c r="AA27" s="1950"/>
      <c r="AB27" s="1950"/>
      <c r="AC27" s="1950"/>
      <c r="AD27" s="1950"/>
      <c r="AE27" s="1950"/>
      <c r="AF27" s="2676"/>
      <c r="AG27" s="2677"/>
      <c r="AH27" s="2677"/>
      <c r="AI27" s="2676"/>
      <c r="AJ27" s="2677"/>
      <c r="AK27" s="2677"/>
      <c r="AL27" s="1902"/>
      <c r="AM27" s="1742"/>
      <c r="AN27" s="1742"/>
      <c r="AO27" s="1742"/>
      <c r="AP27" s="1742"/>
      <c r="AQ27" s="1742"/>
      <c r="AR27" s="1742"/>
      <c r="AS27" s="1742"/>
      <c r="AT27" s="1742"/>
      <c r="AU27" s="1742"/>
      <c r="AV27" s="1742"/>
      <c r="AW27" s="1742"/>
      <c r="AX27" s="1742"/>
      <c r="AY27" s="1742"/>
      <c r="AZ27" s="1742"/>
      <c r="BA27" s="1742"/>
      <c r="BB27" s="1742"/>
      <c r="BC27" s="1742"/>
      <c r="BD27" s="1742"/>
      <c r="BE27" s="1742"/>
      <c r="BF27" s="1742"/>
    </row>
    <row r="28" spans="1:58" ht="0.75" customHeight="1">
      <c r="A28" s="1089" t="s">
        <v>1161</v>
      </c>
      <c r="D28" s="1083"/>
      <c r="E28" s="1093"/>
      <c r="F28" s="2674"/>
      <c r="G28" s="2604"/>
      <c r="H28" s="2679"/>
      <c r="I28" s="2680"/>
      <c r="J28" s="2678"/>
      <c r="K28" s="2678"/>
      <c r="L28" s="2677"/>
      <c r="M28" s="2512"/>
      <c r="N28" s="2681"/>
      <c r="O28" s="2682"/>
      <c r="P28" s="2683"/>
      <c r="Q28" s="2678"/>
      <c r="R28" s="2678"/>
      <c r="S28" s="2678"/>
      <c r="T28" s="2678"/>
      <c r="U28" s="2678"/>
      <c r="V28" s="2678"/>
      <c r="W28" s="2678"/>
      <c r="X28" s="2678"/>
      <c r="Y28" s="2678"/>
      <c r="Z28" s="1951"/>
      <c r="AA28" s="1952"/>
      <c r="AB28" s="1952"/>
      <c r="AC28" s="1953"/>
      <c r="AD28" s="1953"/>
      <c r="AE28" s="1954"/>
      <c r="AF28" s="2676"/>
      <c r="AG28" s="2677"/>
      <c r="AH28" s="2677"/>
      <c r="AI28" s="2676"/>
      <c r="AJ28" s="2677"/>
      <c r="AK28" s="2677"/>
      <c r="AL28" s="1902"/>
      <c r="AM28" s="1742"/>
      <c r="AN28" s="1742"/>
      <c r="AO28" s="1742"/>
      <c r="AP28" s="1742"/>
      <c r="AQ28" s="1742"/>
      <c r="AR28" s="1742"/>
      <c r="AS28" s="1742"/>
      <c r="AT28" s="1742"/>
      <c r="AU28" s="1742"/>
      <c r="AV28" s="1742"/>
      <c r="AW28" s="1742"/>
      <c r="AX28" s="1742"/>
      <c r="AY28" s="1742"/>
      <c r="AZ28" s="1742"/>
      <c r="BA28" s="1742"/>
      <c r="BB28" s="1742"/>
      <c r="BC28" s="1742"/>
      <c r="BD28" s="1742"/>
      <c r="BE28" s="1742"/>
      <c r="BF28" s="1742"/>
    </row>
    <row r="29" spans="1:58" ht="0.75" customHeight="1">
      <c r="A29" s="1089" t="s">
        <v>1161</v>
      </c>
      <c r="D29" s="1083"/>
      <c r="E29" s="1093"/>
      <c r="F29" s="2674"/>
      <c r="G29" s="2604"/>
      <c r="H29" s="2679"/>
      <c r="I29" s="2680"/>
      <c r="J29" s="2678"/>
      <c r="K29" s="2678"/>
      <c r="L29" s="2677"/>
      <c r="M29" s="2512"/>
      <c r="N29" s="2681"/>
      <c r="O29" s="2682"/>
      <c r="P29" s="2684"/>
      <c r="Q29" s="2678"/>
      <c r="R29" s="2678"/>
      <c r="S29" s="2678"/>
      <c r="T29" s="2678"/>
      <c r="U29" s="2678"/>
      <c r="V29" s="2678"/>
      <c r="W29" s="2678"/>
      <c r="X29" s="2678"/>
      <c r="Y29" s="2678"/>
      <c r="Z29" s="1955"/>
      <c r="AA29" s="1956"/>
      <c r="AB29" s="1957"/>
      <c r="AC29" s="1958"/>
      <c r="AD29" s="1957"/>
      <c r="AE29" s="1958"/>
      <c r="AF29" s="2676"/>
      <c r="AG29" s="2677"/>
      <c r="AH29" s="2677"/>
      <c r="AI29" s="2676"/>
      <c r="AJ29" s="2677"/>
      <c r="AK29" s="2677"/>
      <c r="AL29" s="1902"/>
      <c r="AM29" s="1742"/>
      <c r="AN29" s="1742"/>
      <c r="AO29" s="1742"/>
      <c r="AP29" s="1742"/>
      <c r="AQ29" s="1742"/>
      <c r="AR29" s="1742"/>
      <c r="AS29" s="1742"/>
      <c r="AT29" s="1742"/>
      <c r="AU29" s="1742"/>
      <c r="AV29" s="1742"/>
      <c r="AW29" s="1742"/>
      <c r="AX29" s="1742"/>
      <c r="AY29" s="1742"/>
      <c r="AZ29" s="1742"/>
      <c r="BA29" s="1742"/>
      <c r="BB29" s="1742"/>
      <c r="BC29" s="1742"/>
      <c r="BD29" s="1742"/>
      <c r="BE29" s="1742"/>
      <c r="BF29" s="1742"/>
    </row>
    <row r="30" spans="1:58" ht="0.75" customHeight="1">
      <c r="A30" s="1089" t="s">
        <v>1161</v>
      </c>
      <c r="D30" s="1083"/>
      <c r="E30" s="1093"/>
      <c r="F30" s="2674"/>
      <c r="G30" s="2604"/>
      <c r="H30" s="2679"/>
      <c r="I30" s="2680"/>
      <c r="J30" s="2678"/>
      <c r="K30" s="2678"/>
      <c r="L30" s="2677"/>
      <c r="M30" s="2512"/>
      <c r="N30" s="2681"/>
      <c r="O30" s="2682"/>
      <c r="P30" s="2685"/>
      <c r="Q30" s="2678"/>
      <c r="R30" s="2678"/>
      <c r="S30" s="2678"/>
      <c r="T30" s="2678"/>
      <c r="U30" s="2678"/>
      <c r="V30" s="2678"/>
      <c r="W30" s="2678"/>
      <c r="X30" s="2678"/>
      <c r="Y30" s="2678"/>
      <c r="Z30" s="1951"/>
      <c r="AA30" s="1952"/>
      <c r="AB30" s="1959"/>
      <c r="AC30" s="1953"/>
      <c r="AD30" s="1953"/>
      <c r="AE30" s="1960"/>
      <c r="AF30" s="2676"/>
      <c r="AG30" s="2677"/>
      <c r="AH30" s="2677"/>
      <c r="AI30" s="2676"/>
      <c r="AJ30" s="2677"/>
      <c r="AK30" s="2677"/>
      <c r="AL30" s="1902"/>
      <c r="AM30" s="1742"/>
      <c r="AN30" s="1742"/>
      <c r="AO30" s="1742"/>
      <c r="AP30" s="1742"/>
      <c r="AQ30" s="1742"/>
      <c r="AR30" s="1742"/>
      <c r="AS30" s="1742"/>
      <c r="AT30" s="1742"/>
      <c r="AU30" s="1742"/>
      <c r="AV30" s="1742"/>
      <c r="AW30" s="1742"/>
      <c r="AX30" s="1742"/>
      <c r="AY30" s="1742"/>
      <c r="AZ30" s="1742"/>
      <c r="BA30" s="1742"/>
      <c r="BB30" s="1742"/>
      <c r="BC30" s="1742"/>
      <c r="BD30" s="1742"/>
      <c r="BE30" s="1742"/>
      <c r="BF30" s="1742"/>
    </row>
    <row r="31" spans="1:58" ht="0.75" customHeight="1">
      <c r="A31" s="1089" t="s">
        <v>1161</v>
      </c>
      <c r="D31" s="1083"/>
      <c r="E31" s="1093"/>
      <c r="F31" s="2674"/>
      <c r="G31" s="2604"/>
      <c r="H31" s="2679"/>
      <c r="I31" s="2680"/>
      <c r="J31" s="2678"/>
      <c r="K31" s="2678"/>
      <c r="L31" s="2677"/>
      <c r="M31" s="2512"/>
      <c r="N31" s="1952"/>
      <c r="O31" s="1952"/>
      <c r="P31" s="1959"/>
      <c r="Q31" s="1952"/>
      <c r="R31" s="1952"/>
      <c r="S31" s="1952"/>
      <c r="T31" s="1952"/>
      <c r="U31" s="1952"/>
      <c r="V31" s="1952"/>
      <c r="W31" s="1952"/>
      <c r="X31" s="1952"/>
      <c r="Y31" s="1952"/>
      <c r="Z31" s="1952"/>
      <c r="AA31" s="1952"/>
      <c r="AB31" s="1952"/>
      <c r="AC31" s="1952"/>
      <c r="AD31" s="1952"/>
      <c r="AE31" s="1961"/>
      <c r="AF31" s="2676"/>
      <c r="AG31" s="2677"/>
      <c r="AH31" s="2677"/>
      <c r="AI31" s="2676"/>
      <c r="AJ31" s="2677"/>
      <c r="AK31" s="2677"/>
      <c r="AL31" s="1902"/>
      <c r="AM31" s="1742"/>
      <c r="AN31" s="1742"/>
      <c r="AO31" s="1742"/>
      <c r="AP31" s="1742"/>
      <c r="AQ31" s="1742"/>
      <c r="AR31" s="1742"/>
      <c r="AS31" s="1742"/>
      <c r="AT31" s="1742"/>
      <c r="AU31" s="1742"/>
      <c r="AV31" s="1742"/>
      <c r="AW31" s="1742"/>
      <c r="AX31" s="1742"/>
      <c r="AY31" s="1742"/>
      <c r="AZ31" s="1742"/>
      <c r="BA31" s="1742"/>
      <c r="BB31" s="1742"/>
      <c r="BC31" s="1742"/>
      <c r="BD31" s="1742"/>
      <c r="BE31" s="1742"/>
      <c r="BF31" s="1742"/>
    </row>
    <row r="32" spans="1:58" ht="12" customHeight="1">
      <c r="A32" s="1089" t="s">
        <v>1161</v>
      </c>
      <c r="D32" s="1083"/>
      <c r="E32" s="1093"/>
      <c r="F32" s="2675"/>
      <c r="G32" s="1113"/>
      <c r="H32" s="1113"/>
      <c r="I32" s="2673" t="s">
        <v>1193</v>
      </c>
      <c r="J32" s="2673"/>
      <c r="K32" s="2673"/>
      <c r="L32" s="1096"/>
      <c r="M32" s="1096"/>
      <c r="N32" s="1097"/>
      <c r="O32" s="1097"/>
      <c r="P32" s="1097"/>
      <c r="Q32" s="1097"/>
      <c r="R32" s="1097"/>
      <c r="S32" s="1097"/>
      <c r="T32" s="1097"/>
      <c r="U32" s="1097"/>
      <c r="V32" s="1097"/>
      <c r="W32" s="1097"/>
      <c r="X32" s="1097"/>
      <c r="Y32" s="1097"/>
      <c r="Z32" s="1097"/>
      <c r="AA32" s="1097"/>
      <c r="AB32" s="1097"/>
      <c r="AC32" s="1097"/>
      <c r="AD32" s="1097"/>
      <c r="AE32" s="1097"/>
      <c r="AF32" s="1097"/>
      <c r="AG32" s="1096"/>
      <c r="AH32" s="1096"/>
      <c r="AI32" s="1097"/>
      <c r="AJ32" s="1096"/>
      <c r="AK32" s="1097"/>
      <c r="AL32" s="1902"/>
      <c r="AM32" s="1742"/>
      <c r="AN32" s="1742"/>
      <c r="AO32" s="1742"/>
      <c r="AP32" s="1742"/>
      <c r="AQ32" s="1742"/>
      <c r="AR32" s="1742"/>
      <c r="AS32" s="1742"/>
      <c r="AT32" s="1742"/>
      <c r="AU32" s="1742"/>
      <c r="AV32" s="1742"/>
      <c r="AW32" s="1742"/>
      <c r="AX32" s="1742"/>
      <c r="AY32" s="1742"/>
      <c r="AZ32" s="1742"/>
      <c r="BA32" s="1742"/>
      <c r="BB32" s="1742"/>
      <c r="BC32" s="1742"/>
      <c r="BD32" s="1742"/>
      <c r="BE32" s="1742"/>
      <c r="BF32" s="1742"/>
    </row>
    <row r="33" spans="1:58" ht="0.75" customHeight="1">
      <c r="A33" s="1089" t="s">
        <v>1161</v>
      </c>
      <c r="D33" s="1083"/>
      <c r="E33" s="1093"/>
      <c r="F33" s="2674">
        <v>2017</v>
      </c>
      <c r="G33" s="2604"/>
      <c r="H33" s="2679" t="s">
        <v>395</v>
      </c>
      <c r="I33" s="2680"/>
      <c r="J33" s="2678"/>
      <c r="K33" s="2678"/>
      <c r="L33" s="2677"/>
      <c r="M33" s="2512"/>
      <c r="N33" s="1950"/>
      <c r="O33" s="1949"/>
      <c r="P33" s="1950"/>
      <c r="Q33" s="1950"/>
      <c r="R33" s="1950"/>
      <c r="S33" s="1950"/>
      <c r="T33" s="1950"/>
      <c r="U33" s="1950"/>
      <c r="V33" s="1950"/>
      <c r="W33" s="1950"/>
      <c r="X33" s="1950"/>
      <c r="Y33" s="1950"/>
      <c r="Z33" s="1950"/>
      <c r="AA33" s="1950"/>
      <c r="AB33" s="1950"/>
      <c r="AC33" s="1950"/>
      <c r="AD33" s="1950"/>
      <c r="AE33" s="1950"/>
      <c r="AF33" s="2676"/>
      <c r="AG33" s="2677"/>
      <c r="AH33" s="2677"/>
      <c r="AI33" s="2676"/>
      <c r="AJ33" s="2677"/>
      <c r="AK33" s="2677"/>
      <c r="AL33" s="1902"/>
      <c r="AM33" s="1742"/>
      <c r="AN33" s="1742"/>
      <c r="AO33" s="1742"/>
      <c r="AP33" s="1742"/>
      <c r="AQ33" s="1742"/>
      <c r="AR33" s="1742"/>
      <c r="AS33" s="1742"/>
      <c r="AT33" s="1742"/>
      <c r="AU33" s="1742"/>
      <c r="AV33" s="1742"/>
      <c r="AW33" s="1742"/>
      <c r="AX33" s="1742"/>
      <c r="AY33" s="1742"/>
      <c r="AZ33" s="1742"/>
      <c r="BA33" s="1742"/>
      <c r="BB33" s="1742"/>
      <c r="BC33" s="1742"/>
      <c r="BD33" s="1742"/>
      <c r="BE33" s="1742"/>
      <c r="BF33" s="1742"/>
    </row>
    <row r="34" spans="1:58" ht="0.75" customHeight="1">
      <c r="A34" s="1089" t="s">
        <v>1161</v>
      </c>
      <c r="D34" s="1083"/>
      <c r="E34" s="1093"/>
      <c r="F34" s="2674"/>
      <c r="G34" s="2604"/>
      <c r="H34" s="2679"/>
      <c r="I34" s="2680"/>
      <c r="J34" s="2678"/>
      <c r="K34" s="2678"/>
      <c r="L34" s="2677"/>
      <c r="M34" s="2512"/>
      <c r="N34" s="2681"/>
      <c r="O34" s="2682"/>
      <c r="P34" s="2683"/>
      <c r="Q34" s="2678"/>
      <c r="R34" s="2678"/>
      <c r="S34" s="2678"/>
      <c r="T34" s="2678"/>
      <c r="U34" s="2678"/>
      <c r="V34" s="2678"/>
      <c r="W34" s="2678"/>
      <c r="X34" s="2678"/>
      <c r="Y34" s="2678"/>
      <c r="Z34" s="1951"/>
      <c r="AA34" s="1952"/>
      <c r="AB34" s="1952"/>
      <c r="AC34" s="1953"/>
      <c r="AD34" s="1953"/>
      <c r="AE34" s="1954"/>
      <c r="AF34" s="2676"/>
      <c r="AG34" s="2677"/>
      <c r="AH34" s="2677"/>
      <c r="AI34" s="2676"/>
      <c r="AJ34" s="2677"/>
      <c r="AK34" s="2677"/>
      <c r="AL34" s="1902"/>
      <c r="AM34" s="1742"/>
      <c r="AN34" s="1742"/>
      <c r="AO34" s="1742"/>
      <c r="AP34" s="1742"/>
      <c r="AQ34" s="1742"/>
      <c r="AR34" s="1742"/>
      <c r="AS34" s="1742"/>
      <c r="AT34" s="1742"/>
      <c r="AU34" s="1742"/>
      <c r="AV34" s="1742"/>
      <c r="AW34" s="1742"/>
      <c r="AX34" s="1742"/>
      <c r="AY34" s="1742"/>
      <c r="AZ34" s="1742"/>
      <c r="BA34" s="1742"/>
      <c r="BB34" s="1742"/>
      <c r="BC34" s="1742"/>
      <c r="BD34" s="1742"/>
      <c r="BE34" s="1742"/>
      <c r="BF34" s="1742"/>
    </row>
    <row r="35" spans="1:58" ht="0.75" customHeight="1">
      <c r="A35" s="1089" t="s">
        <v>1161</v>
      </c>
      <c r="D35" s="1083"/>
      <c r="E35" s="1093"/>
      <c r="F35" s="2674"/>
      <c r="G35" s="2604"/>
      <c r="H35" s="2679"/>
      <c r="I35" s="2680"/>
      <c r="J35" s="2678"/>
      <c r="K35" s="2678"/>
      <c r="L35" s="2677"/>
      <c r="M35" s="2512"/>
      <c r="N35" s="2681"/>
      <c r="O35" s="2682"/>
      <c r="P35" s="2684"/>
      <c r="Q35" s="2678"/>
      <c r="R35" s="2678"/>
      <c r="S35" s="2678"/>
      <c r="T35" s="2678"/>
      <c r="U35" s="2678"/>
      <c r="V35" s="2678"/>
      <c r="W35" s="2678"/>
      <c r="X35" s="2678"/>
      <c r="Y35" s="2678"/>
      <c r="Z35" s="1955"/>
      <c r="AA35" s="1956"/>
      <c r="AB35" s="1957"/>
      <c r="AC35" s="1958"/>
      <c r="AD35" s="1957"/>
      <c r="AE35" s="1958"/>
      <c r="AF35" s="2676"/>
      <c r="AG35" s="2677"/>
      <c r="AH35" s="2677"/>
      <c r="AI35" s="2676"/>
      <c r="AJ35" s="2677"/>
      <c r="AK35" s="2677"/>
      <c r="AL35" s="1902"/>
      <c r="AM35" s="1742"/>
      <c r="AN35" s="1742"/>
      <c r="AO35" s="1742"/>
      <c r="AP35" s="1742"/>
      <c r="AQ35" s="1742"/>
      <c r="AR35" s="1742"/>
      <c r="AS35" s="1742"/>
      <c r="AT35" s="1742"/>
      <c r="AU35" s="1742"/>
      <c r="AV35" s="1742"/>
      <c r="AW35" s="1742"/>
      <c r="AX35" s="1742"/>
      <c r="AY35" s="1742"/>
      <c r="AZ35" s="1742"/>
      <c r="BA35" s="1742"/>
      <c r="BB35" s="1742"/>
      <c r="BC35" s="1742"/>
      <c r="BD35" s="1742"/>
      <c r="BE35" s="1742"/>
      <c r="BF35" s="1742"/>
    </row>
    <row r="36" spans="1:58" ht="0.75" customHeight="1">
      <c r="A36" s="1089" t="s">
        <v>1161</v>
      </c>
      <c r="D36" s="1083"/>
      <c r="E36" s="1093"/>
      <c r="F36" s="2674"/>
      <c r="G36" s="2604"/>
      <c r="H36" s="2679"/>
      <c r="I36" s="2680"/>
      <c r="J36" s="2678"/>
      <c r="K36" s="2678"/>
      <c r="L36" s="2677"/>
      <c r="M36" s="2512"/>
      <c r="N36" s="2681"/>
      <c r="O36" s="2682"/>
      <c r="P36" s="2685"/>
      <c r="Q36" s="2678"/>
      <c r="R36" s="2678"/>
      <c r="S36" s="2678"/>
      <c r="T36" s="2678"/>
      <c r="U36" s="2678"/>
      <c r="V36" s="2678"/>
      <c r="W36" s="2678"/>
      <c r="X36" s="2678"/>
      <c r="Y36" s="2678"/>
      <c r="Z36" s="1951"/>
      <c r="AA36" s="1952"/>
      <c r="AB36" s="1959"/>
      <c r="AC36" s="1953"/>
      <c r="AD36" s="1953"/>
      <c r="AE36" s="1960"/>
      <c r="AF36" s="2676"/>
      <c r="AG36" s="2677"/>
      <c r="AH36" s="2677"/>
      <c r="AI36" s="2676"/>
      <c r="AJ36" s="2677"/>
      <c r="AK36" s="2677"/>
      <c r="AL36" s="1902"/>
      <c r="AM36" s="1742"/>
      <c r="AN36" s="1742"/>
      <c r="AO36" s="1742"/>
      <c r="AP36" s="1742"/>
      <c r="AQ36" s="1742"/>
      <c r="AR36" s="1742"/>
      <c r="AS36" s="1742"/>
      <c r="AT36" s="1742"/>
      <c r="AU36" s="1742"/>
      <c r="AV36" s="1742"/>
      <c r="AW36" s="1742"/>
      <c r="AX36" s="1742"/>
      <c r="AY36" s="1742"/>
      <c r="AZ36" s="1742"/>
      <c r="BA36" s="1742"/>
      <c r="BB36" s="1742"/>
      <c r="BC36" s="1742"/>
      <c r="BD36" s="1742"/>
      <c r="BE36" s="1742"/>
      <c r="BF36" s="1742"/>
    </row>
    <row r="37" spans="1:58" ht="0.75" customHeight="1">
      <c r="A37" s="1089" t="s">
        <v>1161</v>
      </c>
      <c r="D37" s="1083"/>
      <c r="E37" s="1093"/>
      <c r="F37" s="2674"/>
      <c r="G37" s="2604"/>
      <c r="H37" s="2679"/>
      <c r="I37" s="2680"/>
      <c r="J37" s="2678"/>
      <c r="K37" s="2678"/>
      <c r="L37" s="2677"/>
      <c r="M37" s="2512"/>
      <c r="N37" s="1952"/>
      <c r="O37" s="1952"/>
      <c r="P37" s="1959"/>
      <c r="Q37" s="1952"/>
      <c r="R37" s="1952"/>
      <c r="S37" s="1952"/>
      <c r="T37" s="1952"/>
      <c r="U37" s="1952"/>
      <c r="V37" s="1952"/>
      <c r="W37" s="1952"/>
      <c r="X37" s="1952"/>
      <c r="Y37" s="1952"/>
      <c r="Z37" s="1952"/>
      <c r="AA37" s="1952"/>
      <c r="AB37" s="1952"/>
      <c r="AC37" s="1952"/>
      <c r="AD37" s="1952"/>
      <c r="AE37" s="1961"/>
      <c r="AF37" s="2676"/>
      <c r="AG37" s="2677"/>
      <c r="AH37" s="2677"/>
      <c r="AI37" s="2676"/>
      <c r="AJ37" s="2677"/>
      <c r="AK37" s="2677"/>
      <c r="AL37" s="1902"/>
      <c r="AM37" s="1742"/>
      <c r="AN37" s="1742"/>
      <c r="AO37" s="1742"/>
      <c r="AP37" s="1742"/>
      <c r="AQ37" s="1742"/>
      <c r="AR37" s="1742"/>
      <c r="AS37" s="1742"/>
      <c r="AT37" s="1742"/>
      <c r="AU37" s="1742"/>
      <c r="AV37" s="1742"/>
      <c r="AW37" s="1742"/>
      <c r="AX37" s="1742"/>
      <c r="AY37" s="1742"/>
      <c r="AZ37" s="1742"/>
      <c r="BA37" s="1742"/>
      <c r="BB37" s="1742"/>
      <c r="BC37" s="1742"/>
      <c r="BD37" s="1742"/>
      <c r="BE37" s="1742"/>
      <c r="BF37" s="1742"/>
    </row>
    <row r="38" spans="1:58" ht="12" customHeight="1">
      <c r="A38" s="1089" t="s">
        <v>1161</v>
      </c>
      <c r="D38" s="1083"/>
      <c r="E38" s="1093"/>
      <c r="F38" s="2675"/>
      <c r="G38" s="1113"/>
      <c r="H38" s="1113"/>
      <c r="I38" s="2673" t="s">
        <v>1193</v>
      </c>
      <c r="J38" s="2673"/>
      <c r="K38" s="2673"/>
      <c r="L38" s="1096"/>
      <c r="M38" s="1096"/>
      <c r="N38" s="1097"/>
      <c r="O38" s="1097"/>
      <c r="P38" s="1097"/>
      <c r="Q38" s="1097"/>
      <c r="R38" s="1097"/>
      <c r="S38" s="1097"/>
      <c r="T38" s="1097"/>
      <c r="U38" s="1097"/>
      <c r="V38" s="1097"/>
      <c r="W38" s="1097"/>
      <c r="X38" s="1097"/>
      <c r="Y38" s="1097"/>
      <c r="Z38" s="1097"/>
      <c r="AA38" s="1097"/>
      <c r="AB38" s="1097"/>
      <c r="AC38" s="1097"/>
      <c r="AD38" s="1097"/>
      <c r="AE38" s="1097"/>
      <c r="AF38" s="1097"/>
      <c r="AG38" s="1096"/>
      <c r="AH38" s="1096"/>
      <c r="AI38" s="1097"/>
      <c r="AJ38" s="1096"/>
      <c r="AK38" s="1097"/>
      <c r="AL38" s="1902"/>
      <c r="AM38" s="1742"/>
      <c r="AN38" s="1742"/>
      <c r="AO38" s="1742"/>
      <c r="AP38" s="1742"/>
      <c r="AQ38" s="1742"/>
      <c r="AR38" s="1742"/>
      <c r="AS38" s="1742"/>
      <c r="AT38" s="1742"/>
      <c r="AU38" s="1742"/>
      <c r="AV38" s="1742"/>
      <c r="AW38" s="1742"/>
      <c r="AX38" s="1742"/>
      <c r="AY38" s="1742"/>
      <c r="AZ38" s="1742"/>
      <c r="BA38" s="1742"/>
      <c r="BB38" s="1742"/>
      <c r="BC38" s="1742"/>
      <c r="BD38" s="1742"/>
      <c r="BE38" s="1742"/>
      <c r="BF38" s="1742"/>
    </row>
    <row r="39" spans="1:58" ht="0.75" customHeight="1">
      <c r="A39" s="1089" t="s">
        <v>1161</v>
      </c>
      <c r="D39" s="1083"/>
      <c r="E39" s="1093"/>
      <c r="F39" s="2674">
        <v>2018</v>
      </c>
      <c r="G39" s="2604"/>
      <c r="H39" s="2679" t="s">
        <v>395</v>
      </c>
      <c r="I39" s="2680"/>
      <c r="J39" s="2678"/>
      <c r="K39" s="2678"/>
      <c r="L39" s="2677"/>
      <c r="M39" s="2512"/>
      <c r="N39" s="1950"/>
      <c r="O39" s="1949"/>
      <c r="P39" s="1950"/>
      <c r="Q39" s="1950"/>
      <c r="R39" s="1950"/>
      <c r="S39" s="1950"/>
      <c r="T39" s="1950"/>
      <c r="U39" s="1950"/>
      <c r="V39" s="1950"/>
      <c r="W39" s="1950"/>
      <c r="X39" s="1950"/>
      <c r="Y39" s="1950"/>
      <c r="Z39" s="1950"/>
      <c r="AA39" s="1950"/>
      <c r="AB39" s="1950"/>
      <c r="AC39" s="1950"/>
      <c r="AD39" s="1950"/>
      <c r="AE39" s="1950"/>
      <c r="AF39" s="2676"/>
      <c r="AG39" s="2677"/>
      <c r="AH39" s="2677"/>
      <c r="AI39" s="2676"/>
      <c r="AJ39" s="2677"/>
      <c r="AK39" s="2677"/>
      <c r="AL39" s="1902"/>
      <c r="AM39" s="1742"/>
      <c r="AN39" s="1742"/>
      <c r="AO39" s="1742"/>
      <c r="AP39" s="1742"/>
      <c r="AQ39" s="1742"/>
      <c r="AR39" s="1742"/>
      <c r="AS39" s="1742"/>
      <c r="AT39" s="1742"/>
      <c r="AU39" s="1742"/>
      <c r="AV39" s="1742"/>
      <c r="AW39" s="1742"/>
      <c r="AX39" s="1742"/>
      <c r="AY39" s="1742"/>
      <c r="AZ39" s="1742"/>
      <c r="BA39" s="1742"/>
      <c r="BB39" s="1742"/>
      <c r="BC39" s="1742"/>
      <c r="BD39" s="1742"/>
      <c r="BE39" s="1742"/>
      <c r="BF39" s="1742"/>
    </row>
    <row r="40" spans="1:58" ht="0.75" customHeight="1">
      <c r="A40" s="1089" t="s">
        <v>1161</v>
      </c>
      <c r="D40" s="1083"/>
      <c r="E40" s="1093"/>
      <c r="F40" s="2674"/>
      <c r="G40" s="2604"/>
      <c r="H40" s="2679"/>
      <c r="I40" s="2680"/>
      <c r="J40" s="2678"/>
      <c r="K40" s="2678"/>
      <c r="L40" s="2677"/>
      <c r="M40" s="2512"/>
      <c r="N40" s="2681"/>
      <c r="O40" s="2682"/>
      <c r="P40" s="2683"/>
      <c r="Q40" s="2678"/>
      <c r="R40" s="2678"/>
      <c r="S40" s="2678"/>
      <c r="T40" s="2678"/>
      <c r="U40" s="2678"/>
      <c r="V40" s="2678"/>
      <c r="W40" s="2678"/>
      <c r="X40" s="2678"/>
      <c r="Y40" s="2678"/>
      <c r="Z40" s="1951"/>
      <c r="AA40" s="1952"/>
      <c r="AB40" s="1952"/>
      <c r="AC40" s="1953"/>
      <c r="AD40" s="1953"/>
      <c r="AE40" s="1954"/>
      <c r="AF40" s="2676"/>
      <c r="AG40" s="2677"/>
      <c r="AH40" s="2677"/>
      <c r="AI40" s="2676"/>
      <c r="AJ40" s="2677"/>
      <c r="AK40" s="2677"/>
      <c r="AL40" s="1902"/>
      <c r="AM40" s="1742"/>
      <c r="AN40" s="1742"/>
      <c r="AO40" s="1742"/>
      <c r="AP40" s="1742"/>
      <c r="AQ40" s="1742"/>
      <c r="AR40" s="1742"/>
      <c r="AS40" s="1742"/>
      <c r="AT40" s="1742"/>
      <c r="AU40" s="1742"/>
      <c r="AV40" s="1742"/>
      <c r="AW40" s="1742"/>
      <c r="AX40" s="1742"/>
      <c r="AY40" s="1742"/>
      <c r="AZ40" s="1742"/>
      <c r="BA40" s="1742"/>
      <c r="BB40" s="1742"/>
      <c r="BC40" s="1742"/>
      <c r="BD40" s="1742"/>
      <c r="BE40" s="1742"/>
      <c r="BF40" s="1742"/>
    </row>
    <row r="41" spans="1:58" ht="0.75" customHeight="1">
      <c r="A41" s="1089" t="s">
        <v>1161</v>
      </c>
      <c r="D41" s="1083"/>
      <c r="E41" s="1093"/>
      <c r="F41" s="2674"/>
      <c r="G41" s="2604"/>
      <c r="H41" s="2679"/>
      <c r="I41" s="2680"/>
      <c r="J41" s="2678"/>
      <c r="K41" s="2678"/>
      <c r="L41" s="2677"/>
      <c r="M41" s="2512"/>
      <c r="N41" s="2681"/>
      <c r="O41" s="2682"/>
      <c r="P41" s="2684"/>
      <c r="Q41" s="2678"/>
      <c r="R41" s="2678"/>
      <c r="S41" s="2678"/>
      <c r="T41" s="2678"/>
      <c r="U41" s="2678"/>
      <c r="V41" s="2678"/>
      <c r="W41" s="2678"/>
      <c r="X41" s="2678"/>
      <c r="Y41" s="2678"/>
      <c r="Z41" s="1955"/>
      <c r="AA41" s="1956"/>
      <c r="AB41" s="1957"/>
      <c r="AC41" s="1958"/>
      <c r="AD41" s="1957"/>
      <c r="AE41" s="1958"/>
      <c r="AF41" s="2676"/>
      <c r="AG41" s="2677"/>
      <c r="AH41" s="2677"/>
      <c r="AI41" s="2676"/>
      <c r="AJ41" s="2677"/>
      <c r="AK41" s="2677"/>
      <c r="AL41" s="1902"/>
      <c r="AM41" s="1742"/>
      <c r="AN41" s="1742"/>
      <c r="AO41" s="1742"/>
      <c r="AP41" s="1742"/>
      <c r="AQ41" s="1742"/>
      <c r="AR41" s="1742"/>
      <c r="AS41" s="1742"/>
      <c r="AT41" s="1742"/>
      <c r="AU41" s="1742"/>
      <c r="AV41" s="1742"/>
      <c r="AW41" s="1742"/>
      <c r="AX41" s="1742"/>
      <c r="AY41" s="1742"/>
      <c r="AZ41" s="1742"/>
      <c r="BA41" s="1742"/>
      <c r="BB41" s="1742"/>
      <c r="BC41" s="1742"/>
      <c r="BD41" s="1742"/>
      <c r="BE41" s="1742"/>
      <c r="BF41" s="1742"/>
    </row>
    <row r="42" spans="1:58" ht="0.75" customHeight="1">
      <c r="A42" s="1089" t="s">
        <v>1161</v>
      </c>
      <c r="D42" s="1083"/>
      <c r="E42" s="1093"/>
      <c r="F42" s="2674"/>
      <c r="G42" s="2604"/>
      <c r="H42" s="2679"/>
      <c r="I42" s="2680"/>
      <c r="J42" s="2678"/>
      <c r="K42" s="2678"/>
      <c r="L42" s="2677"/>
      <c r="M42" s="2512"/>
      <c r="N42" s="2681"/>
      <c r="O42" s="2682"/>
      <c r="P42" s="2685"/>
      <c r="Q42" s="2678"/>
      <c r="R42" s="2678"/>
      <c r="S42" s="2678"/>
      <c r="T42" s="2678"/>
      <c r="U42" s="2678"/>
      <c r="V42" s="2678"/>
      <c r="W42" s="2678"/>
      <c r="X42" s="2678"/>
      <c r="Y42" s="2678"/>
      <c r="Z42" s="1951"/>
      <c r="AA42" s="1952"/>
      <c r="AB42" s="1959"/>
      <c r="AC42" s="1953"/>
      <c r="AD42" s="1953"/>
      <c r="AE42" s="1960"/>
      <c r="AF42" s="2676"/>
      <c r="AG42" s="2677"/>
      <c r="AH42" s="2677"/>
      <c r="AI42" s="2676"/>
      <c r="AJ42" s="2677"/>
      <c r="AK42" s="2677"/>
      <c r="AL42" s="1902"/>
      <c r="AM42" s="1742"/>
      <c r="AN42" s="1742"/>
      <c r="AO42" s="1742"/>
      <c r="AP42" s="1742"/>
      <c r="AQ42" s="1742"/>
      <c r="AR42" s="1742"/>
      <c r="AS42" s="1742"/>
      <c r="AT42" s="1742"/>
      <c r="AU42" s="1742"/>
      <c r="AV42" s="1742"/>
      <c r="AW42" s="1742"/>
      <c r="AX42" s="1742"/>
      <c r="AY42" s="1742"/>
      <c r="AZ42" s="1742"/>
      <c r="BA42" s="1742"/>
      <c r="BB42" s="1742"/>
      <c r="BC42" s="1742"/>
      <c r="BD42" s="1742"/>
      <c r="BE42" s="1742"/>
      <c r="BF42" s="1742"/>
    </row>
    <row r="43" spans="1:58" ht="0.75" customHeight="1">
      <c r="A43" s="1089" t="s">
        <v>1161</v>
      </c>
      <c r="D43" s="1083"/>
      <c r="E43" s="1093"/>
      <c r="F43" s="2674"/>
      <c r="G43" s="2604"/>
      <c r="H43" s="2679"/>
      <c r="I43" s="2680"/>
      <c r="J43" s="2678"/>
      <c r="K43" s="2678"/>
      <c r="L43" s="2677"/>
      <c r="M43" s="2512"/>
      <c r="N43" s="1952"/>
      <c r="O43" s="1952"/>
      <c r="P43" s="1959"/>
      <c r="Q43" s="1952"/>
      <c r="R43" s="1952"/>
      <c r="S43" s="1952"/>
      <c r="T43" s="1952"/>
      <c r="U43" s="1952"/>
      <c r="V43" s="1952"/>
      <c r="W43" s="1952"/>
      <c r="X43" s="1952"/>
      <c r="Y43" s="1952"/>
      <c r="Z43" s="1952"/>
      <c r="AA43" s="1952"/>
      <c r="AB43" s="1952"/>
      <c r="AC43" s="1952"/>
      <c r="AD43" s="1952"/>
      <c r="AE43" s="1961"/>
      <c r="AF43" s="2676"/>
      <c r="AG43" s="2677"/>
      <c r="AH43" s="2677"/>
      <c r="AI43" s="2676"/>
      <c r="AJ43" s="2677"/>
      <c r="AK43" s="2677"/>
      <c r="AL43" s="1902"/>
      <c r="AM43" s="1742"/>
      <c r="AN43" s="1742"/>
      <c r="AO43" s="1742"/>
      <c r="AP43" s="1742"/>
      <c r="AQ43" s="1742"/>
      <c r="AR43" s="1742"/>
      <c r="AS43" s="1742"/>
      <c r="AT43" s="1742"/>
      <c r="AU43" s="1742"/>
      <c r="AV43" s="1742"/>
      <c r="AW43" s="1742"/>
      <c r="AX43" s="1742"/>
      <c r="AY43" s="1742"/>
      <c r="AZ43" s="1742"/>
      <c r="BA43" s="1742"/>
      <c r="BB43" s="1742"/>
      <c r="BC43" s="1742"/>
      <c r="BD43" s="1742"/>
      <c r="BE43" s="1742"/>
      <c r="BF43" s="1742"/>
    </row>
    <row r="44" spans="1:58" ht="12" customHeight="1">
      <c r="A44" s="1089" t="s">
        <v>1161</v>
      </c>
      <c r="D44" s="1083"/>
      <c r="E44" s="1093"/>
      <c r="F44" s="2675"/>
      <c r="G44" s="1113"/>
      <c r="H44" s="1113"/>
      <c r="I44" s="2673" t="s">
        <v>1193</v>
      </c>
      <c r="J44" s="2673"/>
      <c r="K44" s="2673"/>
      <c r="L44" s="1096"/>
      <c r="M44" s="1096"/>
      <c r="N44" s="1097"/>
      <c r="O44" s="1097"/>
      <c r="P44" s="1097"/>
      <c r="Q44" s="1097"/>
      <c r="R44" s="1097"/>
      <c r="S44" s="1097"/>
      <c r="T44" s="1097"/>
      <c r="U44" s="1097"/>
      <c r="V44" s="1097"/>
      <c r="W44" s="1097"/>
      <c r="X44" s="1097"/>
      <c r="Y44" s="1097"/>
      <c r="Z44" s="1097"/>
      <c r="AA44" s="1097"/>
      <c r="AB44" s="1097"/>
      <c r="AC44" s="1097"/>
      <c r="AD44" s="1097"/>
      <c r="AE44" s="1097"/>
      <c r="AF44" s="1097"/>
      <c r="AG44" s="1096"/>
      <c r="AH44" s="1096"/>
      <c r="AI44" s="1097"/>
      <c r="AJ44" s="1096"/>
      <c r="AK44" s="1097"/>
      <c r="AL44" s="1902"/>
      <c r="AM44" s="1742"/>
      <c r="AN44" s="1742"/>
      <c r="AO44" s="1742"/>
      <c r="AP44" s="1742"/>
      <c r="AQ44" s="1742"/>
      <c r="AR44" s="1742"/>
      <c r="AS44" s="1742"/>
      <c r="AT44" s="1742"/>
      <c r="AU44" s="1742"/>
      <c r="AV44" s="1742"/>
      <c r="AW44" s="1742"/>
      <c r="AX44" s="1742"/>
      <c r="AY44" s="1742"/>
      <c r="AZ44" s="1742"/>
      <c r="BA44" s="1742"/>
      <c r="BB44" s="1742"/>
      <c r="BC44" s="1742"/>
      <c r="BD44" s="1742"/>
      <c r="BE44" s="1742"/>
      <c r="BF44" s="1742"/>
    </row>
    <row r="45" spans="1:58" ht="0.75" customHeight="1">
      <c r="A45" s="1089" t="s">
        <v>1161</v>
      </c>
      <c r="D45" s="1083"/>
      <c r="E45" s="1093"/>
      <c r="F45" s="2674">
        <v>2019</v>
      </c>
      <c r="G45" s="2604"/>
      <c r="H45" s="2679" t="s">
        <v>395</v>
      </c>
      <c r="I45" s="2680"/>
      <c r="J45" s="2678"/>
      <c r="K45" s="2678"/>
      <c r="L45" s="2677"/>
      <c r="M45" s="2512"/>
      <c r="N45" s="1950"/>
      <c r="O45" s="1949"/>
      <c r="P45" s="1950"/>
      <c r="Q45" s="1950"/>
      <c r="R45" s="1950"/>
      <c r="S45" s="1950"/>
      <c r="T45" s="1950"/>
      <c r="U45" s="1950"/>
      <c r="V45" s="1950"/>
      <c r="W45" s="1950"/>
      <c r="X45" s="1950"/>
      <c r="Y45" s="1950"/>
      <c r="Z45" s="1950"/>
      <c r="AA45" s="1950"/>
      <c r="AB45" s="1950"/>
      <c r="AC45" s="1950"/>
      <c r="AD45" s="1950"/>
      <c r="AE45" s="1950"/>
      <c r="AF45" s="2676"/>
      <c r="AG45" s="2677"/>
      <c r="AH45" s="2677"/>
      <c r="AI45" s="2676"/>
      <c r="AJ45" s="2677"/>
      <c r="AK45" s="2677"/>
      <c r="AL45" s="1902"/>
      <c r="AM45" s="1742"/>
      <c r="AN45" s="1742"/>
      <c r="AO45" s="1742"/>
      <c r="AP45" s="1742"/>
      <c r="AQ45" s="1742"/>
      <c r="AR45" s="1742"/>
      <c r="AS45" s="1742"/>
      <c r="AT45" s="1742"/>
      <c r="AU45" s="1742"/>
      <c r="AV45" s="1742"/>
      <c r="AW45" s="1742"/>
      <c r="AX45" s="1742"/>
      <c r="AY45" s="1742"/>
      <c r="AZ45" s="1742"/>
      <c r="BA45" s="1742"/>
      <c r="BB45" s="1742"/>
      <c r="BC45" s="1742"/>
      <c r="BD45" s="1742"/>
      <c r="BE45" s="1742"/>
      <c r="BF45" s="1742"/>
    </row>
    <row r="46" spans="1:58" ht="0.75" customHeight="1">
      <c r="A46" s="1089" t="s">
        <v>1161</v>
      </c>
      <c r="D46" s="1083"/>
      <c r="E46" s="1093"/>
      <c r="F46" s="2674"/>
      <c r="G46" s="2604"/>
      <c r="H46" s="2679"/>
      <c r="I46" s="2680"/>
      <c r="J46" s="2678"/>
      <c r="K46" s="2678"/>
      <c r="L46" s="2677"/>
      <c r="M46" s="2512"/>
      <c r="N46" s="2681"/>
      <c r="O46" s="2682"/>
      <c r="P46" s="2683"/>
      <c r="Q46" s="2678"/>
      <c r="R46" s="2678"/>
      <c r="S46" s="2678"/>
      <c r="T46" s="2678"/>
      <c r="U46" s="2678"/>
      <c r="V46" s="2678"/>
      <c r="W46" s="2678"/>
      <c r="X46" s="2678"/>
      <c r="Y46" s="2678"/>
      <c r="Z46" s="1951"/>
      <c r="AA46" s="1952"/>
      <c r="AB46" s="1952"/>
      <c r="AC46" s="1953"/>
      <c r="AD46" s="1953"/>
      <c r="AE46" s="1954"/>
      <c r="AF46" s="2676"/>
      <c r="AG46" s="2677"/>
      <c r="AH46" s="2677"/>
      <c r="AI46" s="2676"/>
      <c r="AJ46" s="2677"/>
      <c r="AK46" s="2677"/>
      <c r="AL46" s="1902"/>
      <c r="AM46" s="1742"/>
      <c r="AN46" s="1742"/>
      <c r="AO46" s="1742"/>
      <c r="AP46" s="1742"/>
      <c r="AQ46" s="1742"/>
      <c r="AR46" s="1742"/>
      <c r="AS46" s="1742"/>
      <c r="AT46" s="1742"/>
      <c r="AU46" s="1742"/>
      <c r="AV46" s="1742"/>
      <c r="AW46" s="1742"/>
      <c r="AX46" s="1742"/>
      <c r="AY46" s="1742"/>
      <c r="AZ46" s="1742"/>
      <c r="BA46" s="1742"/>
      <c r="BB46" s="1742"/>
      <c r="BC46" s="1742"/>
      <c r="BD46" s="1742"/>
      <c r="BE46" s="1742"/>
      <c r="BF46" s="1742"/>
    </row>
    <row r="47" spans="1:58" ht="0.75" customHeight="1">
      <c r="A47" s="1089" t="s">
        <v>1161</v>
      </c>
      <c r="D47" s="1083"/>
      <c r="E47" s="1093"/>
      <c r="F47" s="2674"/>
      <c r="G47" s="2604"/>
      <c r="H47" s="2679"/>
      <c r="I47" s="2680"/>
      <c r="J47" s="2678"/>
      <c r="K47" s="2678"/>
      <c r="L47" s="2677"/>
      <c r="M47" s="2512"/>
      <c r="N47" s="2681"/>
      <c r="O47" s="2682"/>
      <c r="P47" s="2684"/>
      <c r="Q47" s="2678"/>
      <c r="R47" s="2678"/>
      <c r="S47" s="2678"/>
      <c r="T47" s="2678"/>
      <c r="U47" s="2678"/>
      <c r="V47" s="2678"/>
      <c r="W47" s="2678"/>
      <c r="X47" s="2678"/>
      <c r="Y47" s="2678"/>
      <c r="Z47" s="1955"/>
      <c r="AA47" s="1956"/>
      <c r="AB47" s="1957"/>
      <c r="AC47" s="1958"/>
      <c r="AD47" s="1957"/>
      <c r="AE47" s="1958"/>
      <c r="AF47" s="2676"/>
      <c r="AG47" s="2677"/>
      <c r="AH47" s="2677"/>
      <c r="AI47" s="2676"/>
      <c r="AJ47" s="2677"/>
      <c r="AK47" s="2677"/>
      <c r="AL47" s="1902"/>
      <c r="AM47" s="1742"/>
      <c r="AN47" s="1742"/>
      <c r="AO47" s="1742"/>
      <c r="AP47" s="1742"/>
      <c r="AQ47" s="1742"/>
      <c r="AR47" s="1742"/>
      <c r="AS47" s="1742"/>
      <c r="AT47" s="1742"/>
      <c r="AU47" s="1742"/>
      <c r="AV47" s="1742"/>
      <c r="AW47" s="1742"/>
      <c r="AX47" s="1742"/>
      <c r="AY47" s="1742"/>
      <c r="AZ47" s="1742"/>
      <c r="BA47" s="1742"/>
      <c r="BB47" s="1742"/>
      <c r="BC47" s="1742"/>
      <c r="BD47" s="1742"/>
      <c r="BE47" s="1742"/>
      <c r="BF47" s="1742"/>
    </row>
    <row r="48" spans="1:58" ht="0.75" customHeight="1">
      <c r="A48" s="1089" t="s">
        <v>1161</v>
      </c>
      <c r="D48" s="1083"/>
      <c r="E48" s="1093"/>
      <c r="F48" s="2674"/>
      <c r="G48" s="2604"/>
      <c r="H48" s="2679"/>
      <c r="I48" s="2680"/>
      <c r="J48" s="2678"/>
      <c r="K48" s="2678"/>
      <c r="L48" s="2677"/>
      <c r="M48" s="2512"/>
      <c r="N48" s="2681"/>
      <c r="O48" s="2682"/>
      <c r="P48" s="2685"/>
      <c r="Q48" s="2678"/>
      <c r="R48" s="2678"/>
      <c r="S48" s="2678"/>
      <c r="T48" s="2678"/>
      <c r="U48" s="2678"/>
      <c r="V48" s="2678"/>
      <c r="W48" s="2678"/>
      <c r="X48" s="2678"/>
      <c r="Y48" s="2678"/>
      <c r="Z48" s="1951"/>
      <c r="AA48" s="1952"/>
      <c r="AB48" s="1959"/>
      <c r="AC48" s="1953"/>
      <c r="AD48" s="1953"/>
      <c r="AE48" s="1960"/>
      <c r="AF48" s="2676"/>
      <c r="AG48" s="2677"/>
      <c r="AH48" s="2677"/>
      <c r="AI48" s="2676"/>
      <c r="AJ48" s="2677"/>
      <c r="AK48" s="2677"/>
      <c r="AL48" s="1902"/>
      <c r="AM48" s="1742"/>
      <c r="AN48" s="1742"/>
      <c r="AO48" s="1742"/>
      <c r="AP48" s="1742"/>
      <c r="AQ48" s="1742"/>
      <c r="AR48" s="1742"/>
      <c r="AS48" s="1742"/>
      <c r="AT48" s="1742"/>
      <c r="AU48" s="1742"/>
      <c r="AV48" s="1742"/>
      <c r="AW48" s="1742"/>
      <c r="AX48" s="1742"/>
      <c r="AY48" s="1742"/>
      <c r="AZ48" s="1742"/>
      <c r="BA48" s="1742"/>
      <c r="BB48" s="1742"/>
      <c r="BC48" s="1742"/>
      <c r="BD48" s="1742"/>
      <c r="BE48" s="1742"/>
      <c r="BF48" s="1742"/>
    </row>
    <row r="49" spans="1:58" ht="0.75" customHeight="1">
      <c r="A49" s="1089" t="s">
        <v>1161</v>
      </c>
      <c r="D49" s="1083"/>
      <c r="E49" s="1093"/>
      <c r="F49" s="2674"/>
      <c r="G49" s="2604"/>
      <c r="H49" s="2679"/>
      <c r="I49" s="2680"/>
      <c r="J49" s="2678"/>
      <c r="K49" s="2678"/>
      <c r="L49" s="2677"/>
      <c r="M49" s="2512"/>
      <c r="N49" s="1952"/>
      <c r="O49" s="1952"/>
      <c r="P49" s="1959"/>
      <c r="Q49" s="1952"/>
      <c r="R49" s="1952"/>
      <c r="S49" s="1952"/>
      <c r="T49" s="1952"/>
      <c r="U49" s="1952"/>
      <c r="V49" s="1952"/>
      <c r="W49" s="1952"/>
      <c r="X49" s="1952"/>
      <c r="Y49" s="1952"/>
      <c r="Z49" s="1952"/>
      <c r="AA49" s="1952"/>
      <c r="AB49" s="1952"/>
      <c r="AC49" s="1952"/>
      <c r="AD49" s="1952"/>
      <c r="AE49" s="1961"/>
      <c r="AF49" s="2676"/>
      <c r="AG49" s="2677"/>
      <c r="AH49" s="2677"/>
      <c r="AI49" s="2676"/>
      <c r="AJ49" s="2677"/>
      <c r="AK49" s="2677"/>
      <c r="AL49" s="1902"/>
      <c r="AM49" s="1742"/>
      <c r="AN49" s="1742"/>
      <c r="AO49" s="1742"/>
      <c r="AP49" s="1742"/>
      <c r="AQ49" s="1742"/>
      <c r="AR49" s="1742"/>
      <c r="AS49" s="1742"/>
      <c r="AT49" s="1742"/>
      <c r="AU49" s="1742"/>
      <c r="AV49" s="1742"/>
      <c r="AW49" s="1742"/>
      <c r="AX49" s="1742"/>
      <c r="AY49" s="1742"/>
      <c r="AZ49" s="1742"/>
      <c r="BA49" s="1742"/>
      <c r="BB49" s="1742"/>
      <c r="BC49" s="1742"/>
      <c r="BD49" s="1742"/>
      <c r="BE49" s="1742"/>
      <c r="BF49" s="1742"/>
    </row>
    <row r="50" spans="1:58" ht="12" customHeight="1">
      <c r="A50" s="1089" t="s">
        <v>1161</v>
      </c>
      <c r="D50" s="1083"/>
      <c r="E50" s="1093"/>
      <c r="F50" s="2675"/>
      <c r="G50" s="1113"/>
      <c r="H50" s="1113"/>
      <c r="I50" s="2673" t="s">
        <v>1193</v>
      </c>
      <c r="J50" s="2673"/>
      <c r="K50" s="2673"/>
      <c r="L50" s="1096"/>
      <c r="M50" s="1096"/>
      <c r="N50" s="1097"/>
      <c r="O50" s="1097"/>
      <c r="P50" s="1097"/>
      <c r="Q50" s="1097"/>
      <c r="R50" s="1097"/>
      <c r="S50" s="1097"/>
      <c r="T50" s="1097"/>
      <c r="U50" s="1097"/>
      <c r="V50" s="1097"/>
      <c r="W50" s="1097"/>
      <c r="X50" s="1097"/>
      <c r="Y50" s="1097"/>
      <c r="Z50" s="1097"/>
      <c r="AA50" s="1097"/>
      <c r="AB50" s="1097"/>
      <c r="AC50" s="1097"/>
      <c r="AD50" s="1097"/>
      <c r="AE50" s="1097"/>
      <c r="AF50" s="1097"/>
      <c r="AG50" s="1096"/>
      <c r="AH50" s="1096"/>
      <c r="AI50" s="1097"/>
      <c r="AJ50" s="1096"/>
      <c r="AK50" s="1097"/>
      <c r="AL50" s="1902"/>
      <c r="AM50" s="1742"/>
      <c r="AN50" s="1742"/>
      <c r="AO50" s="1742"/>
      <c r="AP50" s="1742"/>
      <c r="AQ50" s="1742"/>
      <c r="AR50" s="1742"/>
      <c r="AS50" s="1742"/>
      <c r="AT50" s="1742"/>
      <c r="AU50" s="1742"/>
      <c r="AV50" s="1742"/>
      <c r="AW50" s="1742"/>
      <c r="AX50" s="1742"/>
      <c r="AY50" s="1742"/>
      <c r="AZ50" s="1742"/>
      <c r="BA50" s="1742"/>
      <c r="BB50" s="1742"/>
      <c r="BC50" s="1742"/>
      <c r="BD50" s="1742"/>
      <c r="BE50" s="1742"/>
      <c r="BF50" s="1742"/>
    </row>
    <row r="51" spans="1:58" ht="0.75" customHeight="1">
      <c r="A51" s="1089" t="s">
        <v>1161</v>
      </c>
      <c r="D51" s="1083"/>
      <c r="E51" s="1093"/>
      <c r="F51" s="2674">
        <v>2020</v>
      </c>
      <c r="G51" s="2604"/>
      <c r="H51" s="2679" t="s">
        <v>395</v>
      </c>
      <c r="I51" s="2680"/>
      <c r="J51" s="2678"/>
      <c r="K51" s="2678"/>
      <c r="L51" s="2677"/>
      <c r="M51" s="2512"/>
      <c r="N51" s="1950"/>
      <c r="O51" s="1949"/>
      <c r="P51" s="1950"/>
      <c r="Q51" s="1950"/>
      <c r="R51" s="1950"/>
      <c r="S51" s="1950"/>
      <c r="T51" s="1950"/>
      <c r="U51" s="1950"/>
      <c r="V51" s="1950"/>
      <c r="W51" s="1950"/>
      <c r="X51" s="1950"/>
      <c r="Y51" s="1950"/>
      <c r="Z51" s="1950"/>
      <c r="AA51" s="1950"/>
      <c r="AB51" s="1950"/>
      <c r="AC51" s="1950"/>
      <c r="AD51" s="1950"/>
      <c r="AE51" s="1950"/>
      <c r="AF51" s="2676"/>
      <c r="AG51" s="2677"/>
      <c r="AH51" s="2677"/>
      <c r="AI51" s="2676"/>
      <c r="AJ51" s="2677"/>
      <c r="AK51" s="2677"/>
      <c r="AL51" s="1902"/>
      <c r="AM51" s="1742"/>
      <c r="AN51" s="1742"/>
      <c r="AO51" s="1742"/>
      <c r="AP51" s="1742"/>
      <c r="AQ51" s="1742"/>
      <c r="AR51" s="1742"/>
      <c r="AS51" s="1742"/>
      <c r="AT51" s="1742"/>
      <c r="AU51" s="1742"/>
      <c r="AV51" s="1742"/>
      <c r="AW51" s="1742"/>
      <c r="AX51" s="1742"/>
      <c r="AY51" s="1742"/>
      <c r="AZ51" s="1742"/>
      <c r="BA51" s="1742"/>
      <c r="BB51" s="1742"/>
      <c r="BC51" s="1742"/>
      <c r="BD51" s="1742"/>
      <c r="BE51" s="1742"/>
      <c r="BF51" s="1742"/>
    </row>
    <row r="52" spans="1:58" ht="0.75" customHeight="1">
      <c r="A52" s="1089" t="s">
        <v>1161</v>
      </c>
      <c r="D52" s="1083"/>
      <c r="E52" s="1093"/>
      <c r="F52" s="2674"/>
      <c r="G52" s="2604"/>
      <c r="H52" s="2679"/>
      <c r="I52" s="2680"/>
      <c r="J52" s="2678"/>
      <c r="K52" s="2678"/>
      <c r="L52" s="2677"/>
      <c r="M52" s="2512"/>
      <c r="N52" s="2681"/>
      <c r="O52" s="2682"/>
      <c r="P52" s="2683"/>
      <c r="Q52" s="2678"/>
      <c r="R52" s="2678"/>
      <c r="S52" s="2678"/>
      <c r="T52" s="2678"/>
      <c r="U52" s="2678"/>
      <c r="V52" s="2678"/>
      <c r="W52" s="2678"/>
      <c r="X52" s="2678"/>
      <c r="Y52" s="2678"/>
      <c r="Z52" s="1951"/>
      <c r="AA52" s="1952"/>
      <c r="AB52" s="1952"/>
      <c r="AC52" s="1953"/>
      <c r="AD52" s="1953"/>
      <c r="AE52" s="1954"/>
      <c r="AF52" s="2676"/>
      <c r="AG52" s="2677"/>
      <c r="AH52" s="2677"/>
      <c r="AI52" s="2676"/>
      <c r="AJ52" s="2677"/>
      <c r="AK52" s="2677"/>
      <c r="AL52" s="1902"/>
      <c r="AM52" s="1742"/>
      <c r="AN52" s="1742"/>
      <c r="AO52" s="1742"/>
      <c r="AP52" s="1742"/>
      <c r="AQ52" s="1742"/>
      <c r="AR52" s="1742"/>
      <c r="AS52" s="1742"/>
      <c r="AT52" s="1742"/>
      <c r="AU52" s="1742"/>
      <c r="AV52" s="1742"/>
      <c r="AW52" s="1742"/>
      <c r="AX52" s="1742"/>
      <c r="AY52" s="1742"/>
      <c r="AZ52" s="1742"/>
      <c r="BA52" s="1742"/>
      <c r="BB52" s="1742"/>
      <c r="BC52" s="1742"/>
      <c r="BD52" s="1742"/>
      <c r="BE52" s="1742"/>
      <c r="BF52" s="1742"/>
    </row>
    <row r="53" spans="1:58" ht="0.75" customHeight="1">
      <c r="A53" s="1089" t="s">
        <v>1161</v>
      </c>
      <c r="D53" s="1083"/>
      <c r="E53" s="1093"/>
      <c r="F53" s="2674"/>
      <c r="G53" s="2604"/>
      <c r="H53" s="2679"/>
      <c r="I53" s="2680"/>
      <c r="J53" s="2678"/>
      <c r="K53" s="2678"/>
      <c r="L53" s="2677"/>
      <c r="M53" s="2512"/>
      <c r="N53" s="2681"/>
      <c r="O53" s="2682"/>
      <c r="P53" s="2684"/>
      <c r="Q53" s="2678"/>
      <c r="R53" s="2678"/>
      <c r="S53" s="2678"/>
      <c r="T53" s="2678"/>
      <c r="U53" s="2678"/>
      <c r="V53" s="2678"/>
      <c r="W53" s="2678"/>
      <c r="X53" s="2678"/>
      <c r="Y53" s="2678"/>
      <c r="Z53" s="1955"/>
      <c r="AA53" s="1956"/>
      <c r="AB53" s="1957"/>
      <c r="AC53" s="1958"/>
      <c r="AD53" s="1957"/>
      <c r="AE53" s="1958"/>
      <c r="AF53" s="2676"/>
      <c r="AG53" s="2677"/>
      <c r="AH53" s="2677"/>
      <c r="AI53" s="2676"/>
      <c r="AJ53" s="2677"/>
      <c r="AK53" s="2677"/>
      <c r="AL53" s="1902"/>
      <c r="AM53" s="1742"/>
      <c r="AN53" s="1742"/>
      <c r="AO53" s="1742"/>
      <c r="AP53" s="1742"/>
      <c r="AQ53" s="1742"/>
      <c r="AR53" s="1742"/>
      <c r="AS53" s="1742"/>
      <c r="AT53" s="1742"/>
      <c r="AU53" s="1742"/>
      <c r="AV53" s="1742"/>
      <c r="AW53" s="1742"/>
      <c r="AX53" s="1742"/>
      <c r="AY53" s="1742"/>
      <c r="AZ53" s="1742"/>
      <c r="BA53" s="1742"/>
      <c r="BB53" s="1742"/>
      <c r="BC53" s="1742"/>
      <c r="BD53" s="1742"/>
      <c r="BE53" s="1742"/>
      <c r="BF53" s="1742"/>
    </row>
    <row r="54" spans="1:58" ht="0.75" customHeight="1">
      <c r="A54" s="1089" t="s">
        <v>1161</v>
      </c>
      <c r="D54" s="1083"/>
      <c r="E54" s="1093"/>
      <c r="F54" s="2674"/>
      <c r="G54" s="2604"/>
      <c r="H54" s="2679"/>
      <c r="I54" s="2680"/>
      <c r="J54" s="2678"/>
      <c r="K54" s="2678"/>
      <c r="L54" s="2677"/>
      <c r="M54" s="2512"/>
      <c r="N54" s="2681"/>
      <c r="O54" s="2682"/>
      <c r="P54" s="2685"/>
      <c r="Q54" s="2678"/>
      <c r="R54" s="2678"/>
      <c r="S54" s="2678"/>
      <c r="T54" s="2678"/>
      <c r="U54" s="2678"/>
      <c r="V54" s="2678"/>
      <c r="W54" s="2678"/>
      <c r="X54" s="2678"/>
      <c r="Y54" s="2678"/>
      <c r="Z54" s="1951"/>
      <c r="AA54" s="1952"/>
      <c r="AB54" s="1959"/>
      <c r="AC54" s="1953"/>
      <c r="AD54" s="1953"/>
      <c r="AE54" s="1960"/>
      <c r="AF54" s="2676"/>
      <c r="AG54" s="2677"/>
      <c r="AH54" s="2677"/>
      <c r="AI54" s="2676"/>
      <c r="AJ54" s="2677"/>
      <c r="AK54" s="2677"/>
      <c r="AL54" s="1902"/>
      <c r="AM54" s="1742"/>
      <c r="AN54" s="1742"/>
      <c r="AO54" s="1742"/>
      <c r="AP54" s="1742"/>
      <c r="AQ54" s="1742"/>
      <c r="AR54" s="1742"/>
      <c r="AS54" s="1742"/>
      <c r="AT54" s="1742"/>
      <c r="AU54" s="1742"/>
      <c r="AV54" s="1742"/>
      <c r="AW54" s="1742"/>
      <c r="AX54" s="1742"/>
      <c r="AY54" s="1742"/>
      <c r="AZ54" s="1742"/>
      <c r="BA54" s="1742"/>
      <c r="BB54" s="1742"/>
      <c r="BC54" s="1742"/>
      <c r="BD54" s="1742"/>
      <c r="BE54" s="1742"/>
      <c r="BF54" s="1742"/>
    </row>
    <row r="55" spans="1:58" ht="0.75" customHeight="1">
      <c r="A55" s="1089" t="s">
        <v>1161</v>
      </c>
      <c r="D55" s="1083"/>
      <c r="E55" s="1093"/>
      <c r="F55" s="2674"/>
      <c r="G55" s="2604"/>
      <c r="H55" s="2679"/>
      <c r="I55" s="2680"/>
      <c r="J55" s="2678"/>
      <c r="K55" s="2678"/>
      <c r="L55" s="2677"/>
      <c r="M55" s="2512"/>
      <c r="N55" s="1952"/>
      <c r="O55" s="1952"/>
      <c r="P55" s="1959"/>
      <c r="Q55" s="1952"/>
      <c r="R55" s="1952"/>
      <c r="S55" s="1952"/>
      <c r="T55" s="1952"/>
      <c r="U55" s="1952"/>
      <c r="V55" s="1952"/>
      <c r="W55" s="1952"/>
      <c r="X55" s="1952"/>
      <c r="Y55" s="1952"/>
      <c r="Z55" s="1952"/>
      <c r="AA55" s="1952"/>
      <c r="AB55" s="1952"/>
      <c r="AC55" s="1952"/>
      <c r="AD55" s="1952"/>
      <c r="AE55" s="1961"/>
      <c r="AF55" s="2676"/>
      <c r="AG55" s="2677"/>
      <c r="AH55" s="2677"/>
      <c r="AI55" s="2676"/>
      <c r="AJ55" s="2677"/>
      <c r="AK55" s="2677"/>
      <c r="AL55" s="1902"/>
      <c r="AM55" s="1742"/>
      <c r="AN55" s="1742"/>
      <c r="AO55" s="1742"/>
      <c r="AP55" s="1742"/>
      <c r="AQ55" s="1742"/>
      <c r="AR55" s="1742"/>
      <c r="AS55" s="1742"/>
      <c r="AT55" s="1742"/>
      <c r="AU55" s="1742"/>
      <c r="AV55" s="1742"/>
      <c r="AW55" s="1742"/>
      <c r="AX55" s="1742"/>
      <c r="AY55" s="1742"/>
      <c r="AZ55" s="1742"/>
      <c r="BA55" s="1742"/>
      <c r="BB55" s="1742"/>
      <c r="BC55" s="1742"/>
      <c r="BD55" s="1742"/>
      <c r="BE55" s="1742"/>
      <c r="BF55" s="1742"/>
    </row>
    <row r="56" spans="1:58" ht="12" customHeight="1">
      <c r="A56" s="1089" t="s">
        <v>1161</v>
      </c>
      <c r="D56" s="1083"/>
      <c r="E56" s="1093"/>
      <c r="F56" s="2675"/>
      <c r="G56" s="1113"/>
      <c r="H56" s="1113"/>
      <c r="I56" s="2673" t="s">
        <v>1193</v>
      </c>
      <c r="J56" s="2673"/>
      <c r="K56" s="2673"/>
      <c r="L56" s="1096"/>
      <c r="M56" s="1096"/>
      <c r="N56" s="1097"/>
      <c r="O56" s="1097"/>
      <c r="P56" s="1097"/>
      <c r="Q56" s="1097"/>
      <c r="R56" s="1097"/>
      <c r="S56" s="1097"/>
      <c r="T56" s="1097"/>
      <c r="U56" s="1097"/>
      <c r="V56" s="1097"/>
      <c r="W56" s="1097"/>
      <c r="X56" s="1097"/>
      <c r="Y56" s="1097"/>
      <c r="Z56" s="1097"/>
      <c r="AA56" s="1097"/>
      <c r="AB56" s="1097"/>
      <c r="AC56" s="1097"/>
      <c r="AD56" s="1097"/>
      <c r="AE56" s="1097"/>
      <c r="AF56" s="1097"/>
      <c r="AG56" s="1096"/>
      <c r="AH56" s="1096"/>
      <c r="AI56" s="1097"/>
      <c r="AJ56" s="1096"/>
      <c r="AK56" s="1097"/>
      <c r="AL56" s="1902"/>
      <c r="AM56" s="1742"/>
      <c r="AN56" s="1742"/>
      <c r="AO56" s="1742"/>
      <c r="AP56" s="1742"/>
      <c r="AQ56" s="1742"/>
      <c r="AR56" s="1742"/>
      <c r="AS56" s="1742"/>
      <c r="AT56" s="1742"/>
      <c r="AU56" s="1742"/>
      <c r="AV56" s="1742"/>
      <c r="AW56" s="1742"/>
      <c r="AX56" s="1742"/>
      <c r="AY56" s="1742"/>
      <c r="AZ56" s="1742"/>
      <c r="BA56" s="1742"/>
      <c r="BB56" s="1742"/>
      <c r="BC56" s="1742"/>
      <c r="BD56" s="1742"/>
      <c r="BE56" s="1742"/>
      <c r="BF56" s="1742"/>
    </row>
    <row r="57" spans="1:58" ht="0.75" customHeight="1">
      <c r="A57" s="1089" t="s">
        <v>1161</v>
      </c>
      <c r="D57" s="1083"/>
      <c r="E57" s="1093"/>
      <c r="F57" s="2674">
        <v>2021</v>
      </c>
      <c r="G57" s="2604"/>
      <c r="H57" s="2679" t="s">
        <v>395</v>
      </c>
      <c r="I57" s="2680"/>
      <c r="J57" s="2678"/>
      <c r="K57" s="2678"/>
      <c r="L57" s="2677"/>
      <c r="M57" s="2512"/>
      <c r="N57" s="1950"/>
      <c r="O57" s="1949"/>
      <c r="P57" s="1950"/>
      <c r="Q57" s="1950"/>
      <c r="R57" s="1950"/>
      <c r="S57" s="1950"/>
      <c r="T57" s="1950"/>
      <c r="U57" s="1950"/>
      <c r="V57" s="1950"/>
      <c r="W57" s="1950"/>
      <c r="X57" s="1950"/>
      <c r="Y57" s="1950"/>
      <c r="Z57" s="1950"/>
      <c r="AA57" s="1950"/>
      <c r="AB57" s="1950"/>
      <c r="AC57" s="1950"/>
      <c r="AD57" s="1950"/>
      <c r="AE57" s="1950"/>
      <c r="AF57" s="2676"/>
      <c r="AG57" s="2677"/>
      <c r="AH57" s="2677"/>
      <c r="AI57" s="2676"/>
      <c r="AJ57" s="2677"/>
      <c r="AK57" s="2677"/>
      <c r="AL57" s="1902"/>
      <c r="AM57" s="1742"/>
      <c r="AN57" s="1742"/>
      <c r="AO57" s="1742"/>
      <c r="AP57" s="1742"/>
      <c r="AQ57" s="1742"/>
      <c r="AR57" s="1742"/>
      <c r="AS57" s="1742"/>
      <c r="AT57" s="1742"/>
      <c r="AU57" s="1742"/>
      <c r="AV57" s="1742"/>
      <c r="AW57" s="1742"/>
      <c r="AX57" s="1742"/>
      <c r="AY57" s="1742"/>
      <c r="AZ57" s="1742"/>
      <c r="BA57" s="1742"/>
      <c r="BB57" s="1742"/>
      <c r="BC57" s="1742"/>
      <c r="BD57" s="1742"/>
      <c r="BE57" s="1742"/>
      <c r="BF57" s="1742"/>
    </row>
    <row r="58" spans="1:58" ht="0.75" customHeight="1">
      <c r="A58" s="1089" t="s">
        <v>1161</v>
      </c>
      <c r="D58" s="1083"/>
      <c r="E58" s="1093"/>
      <c r="F58" s="2674"/>
      <c r="G58" s="2604"/>
      <c r="H58" s="2679"/>
      <c r="I58" s="2680"/>
      <c r="J58" s="2678"/>
      <c r="K58" s="2678"/>
      <c r="L58" s="2677"/>
      <c r="M58" s="2512"/>
      <c r="N58" s="2681"/>
      <c r="O58" s="2682"/>
      <c r="P58" s="2683"/>
      <c r="Q58" s="2678"/>
      <c r="R58" s="2678"/>
      <c r="S58" s="2678"/>
      <c r="T58" s="2678"/>
      <c r="U58" s="2678"/>
      <c r="V58" s="2678"/>
      <c r="W58" s="2678"/>
      <c r="X58" s="2678"/>
      <c r="Y58" s="2678"/>
      <c r="Z58" s="1951"/>
      <c r="AA58" s="1952"/>
      <c r="AB58" s="1952"/>
      <c r="AC58" s="1953"/>
      <c r="AD58" s="1953"/>
      <c r="AE58" s="1954"/>
      <c r="AF58" s="2676"/>
      <c r="AG58" s="2677"/>
      <c r="AH58" s="2677"/>
      <c r="AI58" s="2676"/>
      <c r="AJ58" s="2677"/>
      <c r="AK58" s="2677"/>
      <c r="AL58" s="1902"/>
      <c r="AM58" s="1742"/>
      <c r="AN58" s="1742"/>
      <c r="AO58" s="1742"/>
      <c r="AP58" s="1742"/>
      <c r="AQ58" s="1742"/>
      <c r="AR58" s="1742"/>
      <c r="AS58" s="1742"/>
      <c r="AT58" s="1742"/>
      <c r="AU58" s="1742"/>
      <c r="AV58" s="1742"/>
      <c r="AW58" s="1742"/>
      <c r="AX58" s="1742"/>
      <c r="AY58" s="1742"/>
      <c r="AZ58" s="1742"/>
      <c r="BA58" s="1742"/>
      <c r="BB58" s="1742"/>
      <c r="BC58" s="1742"/>
      <c r="BD58" s="1742"/>
      <c r="BE58" s="1742"/>
      <c r="BF58" s="1742"/>
    </row>
    <row r="59" spans="1:58" ht="0.75" customHeight="1">
      <c r="A59" s="1089" t="s">
        <v>1161</v>
      </c>
      <c r="D59" s="1083"/>
      <c r="E59" s="1093"/>
      <c r="F59" s="2674"/>
      <c r="G59" s="2604"/>
      <c r="H59" s="2679"/>
      <c r="I59" s="2680"/>
      <c r="J59" s="2678"/>
      <c r="K59" s="2678"/>
      <c r="L59" s="2677"/>
      <c r="M59" s="2512"/>
      <c r="N59" s="2681"/>
      <c r="O59" s="2682"/>
      <c r="P59" s="2684"/>
      <c r="Q59" s="2678"/>
      <c r="R59" s="2678"/>
      <c r="S59" s="2678"/>
      <c r="T59" s="2678"/>
      <c r="U59" s="2678"/>
      <c r="V59" s="2678"/>
      <c r="W59" s="2678"/>
      <c r="X59" s="2678"/>
      <c r="Y59" s="2678"/>
      <c r="Z59" s="1955"/>
      <c r="AA59" s="1956"/>
      <c r="AB59" s="1957"/>
      <c r="AC59" s="1958"/>
      <c r="AD59" s="1957"/>
      <c r="AE59" s="1958"/>
      <c r="AF59" s="2676"/>
      <c r="AG59" s="2677"/>
      <c r="AH59" s="2677"/>
      <c r="AI59" s="2676"/>
      <c r="AJ59" s="2677"/>
      <c r="AK59" s="2677"/>
      <c r="AL59" s="1902"/>
      <c r="AM59" s="1742"/>
      <c r="AN59" s="1742"/>
      <c r="AO59" s="1742"/>
      <c r="AP59" s="1742"/>
      <c r="AQ59" s="1742"/>
      <c r="AR59" s="1742"/>
      <c r="AS59" s="1742"/>
      <c r="AT59" s="1742"/>
      <c r="AU59" s="1742"/>
      <c r="AV59" s="1742"/>
      <c r="AW59" s="1742"/>
      <c r="AX59" s="1742"/>
      <c r="AY59" s="1742"/>
      <c r="AZ59" s="1742"/>
      <c r="BA59" s="1742"/>
      <c r="BB59" s="1742"/>
      <c r="BC59" s="1742"/>
      <c r="BD59" s="1742"/>
      <c r="BE59" s="1742"/>
      <c r="BF59" s="1742"/>
    </row>
    <row r="60" spans="1:58" ht="0.75" customHeight="1">
      <c r="A60" s="1089" t="s">
        <v>1161</v>
      </c>
      <c r="D60" s="1083"/>
      <c r="E60" s="1093"/>
      <c r="F60" s="2674"/>
      <c r="G60" s="2604"/>
      <c r="H60" s="2679"/>
      <c r="I60" s="2680"/>
      <c r="J60" s="2678"/>
      <c r="K60" s="2678"/>
      <c r="L60" s="2677"/>
      <c r="M60" s="2512"/>
      <c r="N60" s="2681"/>
      <c r="O60" s="2682"/>
      <c r="P60" s="2685"/>
      <c r="Q60" s="2678"/>
      <c r="R60" s="2678"/>
      <c r="S60" s="2678"/>
      <c r="T60" s="2678"/>
      <c r="U60" s="2678"/>
      <c r="V60" s="2678"/>
      <c r="W60" s="2678"/>
      <c r="X60" s="2678"/>
      <c r="Y60" s="2678"/>
      <c r="Z60" s="1951"/>
      <c r="AA60" s="1952"/>
      <c r="AB60" s="1959"/>
      <c r="AC60" s="1953"/>
      <c r="AD60" s="1953"/>
      <c r="AE60" s="1960"/>
      <c r="AF60" s="2676"/>
      <c r="AG60" s="2677"/>
      <c r="AH60" s="2677"/>
      <c r="AI60" s="2676"/>
      <c r="AJ60" s="2677"/>
      <c r="AK60" s="2677"/>
      <c r="AL60" s="1902"/>
      <c r="AM60" s="1742"/>
      <c r="AN60" s="1742"/>
      <c r="AO60" s="1742"/>
      <c r="AP60" s="1742"/>
      <c r="AQ60" s="1742"/>
      <c r="AR60" s="1742"/>
      <c r="AS60" s="1742"/>
      <c r="AT60" s="1742"/>
      <c r="AU60" s="1742"/>
      <c r="AV60" s="1742"/>
      <c r="AW60" s="1742"/>
      <c r="AX60" s="1742"/>
      <c r="AY60" s="1742"/>
      <c r="AZ60" s="1742"/>
      <c r="BA60" s="1742"/>
      <c r="BB60" s="1742"/>
      <c r="BC60" s="1742"/>
      <c r="BD60" s="1742"/>
      <c r="BE60" s="1742"/>
      <c r="BF60" s="1742"/>
    </row>
    <row r="61" spans="1:58" ht="0.75" customHeight="1">
      <c r="A61" s="1089" t="s">
        <v>1161</v>
      </c>
      <c r="D61" s="1083"/>
      <c r="E61" s="1093"/>
      <c r="F61" s="2674"/>
      <c r="G61" s="2604"/>
      <c r="H61" s="2679"/>
      <c r="I61" s="2680"/>
      <c r="J61" s="2678"/>
      <c r="K61" s="2678"/>
      <c r="L61" s="2677"/>
      <c r="M61" s="2512"/>
      <c r="N61" s="1952"/>
      <c r="O61" s="1952"/>
      <c r="P61" s="1959"/>
      <c r="Q61" s="1952"/>
      <c r="R61" s="1952"/>
      <c r="S61" s="1952"/>
      <c r="T61" s="1952"/>
      <c r="U61" s="1952"/>
      <c r="V61" s="1952"/>
      <c r="W61" s="1952"/>
      <c r="X61" s="1952"/>
      <c r="Y61" s="1952"/>
      <c r="Z61" s="1952"/>
      <c r="AA61" s="1952"/>
      <c r="AB61" s="1952"/>
      <c r="AC61" s="1952"/>
      <c r="AD61" s="1952"/>
      <c r="AE61" s="1961"/>
      <c r="AF61" s="2676"/>
      <c r="AG61" s="2677"/>
      <c r="AH61" s="2677"/>
      <c r="AI61" s="2676"/>
      <c r="AJ61" s="2677"/>
      <c r="AK61" s="2677"/>
      <c r="AL61" s="1902"/>
      <c r="AM61" s="1742"/>
      <c r="AN61" s="1742"/>
      <c r="AO61" s="1742"/>
      <c r="AP61" s="1742"/>
      <c r="AQ61" s="1742"/>
      <c r="AR61" s="1742"/>
      <c r="AS61" s="1742"/>
      <c r="AT61" s="1742"/>
      <c r="AU61" s="1742"/>
      <c r="AV61" s="1742"/>
      <c r="AW61" s="1742"/>
      <c r="AX61" s="1742"/>
      <c r="AY61" s="1742"/>
      <c r="AZ61" s="1742"/>
      <c r="BA61" s="1742"/>
      <c r="BB61" s="1742"/>
      <c r="BC61" s="1742"/>
      <c r="BD61" s="1742"/>
      <c r="BE61" s="1742"/>
      <c r="BF61" s="1742"/>
    </row>
    <row r="62" spans="1:58" ht="12" customHeight="1">
      <c r="A62" s="1089" t="s">
        <v>1161</v>
      </c>
      <c r="D62" s="1083"/>
      <c r="E62" s="1093"/>
      <c r="F62" s="2675"/>
      <c r="G62" s="1113"/>
      <c r="H62" s="1113"/>
      <c r="I62" s="2673" t="s">
        <v>1193</v>
      </c>
      <c r="J62" s="2673"/>
      <c r="K62" s="2673"/>
      <c r="L62" s="1096"/>
      <c r="M62" s="1096"/>
      <c r="N62" s="1097"/>
      <c r="O62" s="1097"/>
      <c r="P62" s="1097"/>
      <c r="Q62" s="1097"/>
      <c r="R62" s="1097"/>
      <c r="S62" s="1097"/>
      <c r="T62" s="1097"/>
      <c r="U62" s="1097"/>
      <c r="V62" s="1097"/>
      <c r="W62" s="1097"/>
      <c r="X62" s="1097"/>
      <c r="Y62" s="1097"/>
      <c r="Z62" s="1097"/>
      <c r="AA62" s="1097"/>
      <c r="AB62" s="1097"/>
      <c r="AC62" s="1097"/>
      <c r="AD62" s="1097"/>
      <c r="AE62" s="1097"/>
      <c r="AF62" s="1097"/>
      <c r="AG62" s="1096"/>
      <c r="AH62" s="1096"/>
      <c r="AI62" s="1097"/>
      <c r="AJ62" s="1096"/>
      <c r="AK62" s="1097"/>
      <c r="AL62" s="1902"/>
      <c r="AM62" s="1742"/>
      <c r="AN62" s="1742"/>
      <c r="AO62" s="1742"/>
      <c r="AP62" s="1742"/>
      <c r="AQ62" s="1742"/>
      <c r="AR62" s="1742"/>
      <c r="AS62" s="1742"/>
      <c r="AT62" s="1742"/>
      <c r="AU62" s="1742"/>
      <c r="AV62" s="1742"/>
      <c r="AW62" s="1742"/>
      <c r="AX62" s="1742"/>
      <c r="AY62" s="1742"/>
      <c r="AZ62" s="1742"/>
      <c r="BA62" s="1742"/>
      <c r="BB62" s="1742"/>
      <c r="BC62" s="1742"/>
      <c r="BD62" s="1742"/>
      <c r="BE62" s="1742"/>
      <c r="BF62" s="1742"/>
    </row>
    <row r="63" spans="1:58" ht="0.75" customHeight="1">
      <c r="A63" s="1089" t="s">
        <v>1161</v>
      </c>
      <c r="D63" s="1083"/>
      <c r="E63" s="1093"/>
      <c r="F63" s="2674">
        <v>2022</v>
      </c>
      <c r="G63" s="2604"/>
      <c r="H63" s="2679" t="s">
        <v>395</v>
      </c>
      <c r="I63" s="2680"/>
      <c r="J63" s="2678"/>
      <c r="K63" s="2678"/>
      <c r="L63" s="2677"/>
      <c r="M63" s="2512"/>
      <c r="N63" s="1950"/>
      <c r="O63" s="1949"/>
      <c r="P63" s="1950"/>
      <c r="Q63" s="1950"/>
      <c r="R63" s="1950"/>
      <c r="S63" s="1950"/>
      <c r="T63" s="1950"/>
      <c r="U63" s="1950"/>
      <c r="V63" s="1950"/>
      <c r="W63" s="1950"/>
      <c r="X63" s="1950"/>
      <c r="Y63" s="1950"/>
      <c r="Z63" s="1950"/>
      <c r="AA63" s="1950"/>
      <c r="AB63" s="1950"/>
      <c r="AC63" s="1950"/>
      <c r="AD63" s="1950"/>
      <c r="AE63" s="1950"/>
      <c r="AF63" s="2676"/>
      <c r="AG63" s="2677"/>
      <c r="AH63" s="2677"/>
      <c r="AI63" s="2676"/>
      <c r="AJ63" s="2677"/>
      <c r="AK63" s="2677"/>
      <c r="AL63" s="1902"/>
      <c r="AM63" s="1742"/>
      <c r="AN63" s="1742"/>
      <c r="AO63" s="1742"/>
      <c r="AP63" s="1742"/>
      <c r="AQ63" s="1742"/>
      <c r="AR63" s="1742"/>
      <c r="AS63" s="1742"/>
      <c r="AT63" s="1742"/>
      <c r="AU63" s="1742"/>
      <c r="AV63" s="1742"/>
      <c r="AW63" s="1742"/>
      <c r="AX63" s="1742"/>
      <c r="AY63" s="1742"/>
      <c r="AZ63" s="1742"/>
      <c r="BA63" s="1742"/>
      <c r="BB63" s="1742"/>
      <c r="BC63" s="1742"/>
      <c r="BD63" s="1742"/>
      <c r="BE63" s="1742"/>
      <c r="BF63" s="1742"/>
    </row>
    <row r="64" spans="1:58" ht="0.75" customHeight="1">
      <c r="A64" s="1089" t="s">
        <v>1161</v>
      </c>
      <c r="D64" s="1083"/>
      <c r="E64" s="1093"/>
      <c r="F64" s="2674"/>
      <c r="G64" s="2604"/>
      <c r="H64" s="2679"/>
      <c r="I64" s="2680"/>
      <c r="J64" s="2678"/>
      <c r="K64" s="2678"/>
      <c r="L64" s="2677"/>
      <c r="M64" s="2512"/>
      <c r="N64" s="2681"/>
      <c r="O64" s="2682"/>
      <c r="P64" s="2683"/>
      <c r="Q64" s="2678"/>
      <c r="R64" s="2678"/>
      <c r="S64" s="2678"/>
      <c r="T64" s="2678"/>
      <c r="U64" s="2678"/>
      <c r="V64" s="2678"/>
      <c r="W64" s="2678"/>
      <c r="X64" s="2678"/>
      <c r="Y64" s="2678"/>
      <c r="Z64" s="1951"/>
      <c r="AA64" s="1952"/>
      <c r="AB64" s="1952"/>
      <c r="AC64" s="1953"/>
      <c r="AD64" s="1953"/>
      <c r="AE64" s="1954"/>
      <c r="AF64" s="2676"/>
      <c r="AG64" s="2677"/>
      <c r="AH64" s="2677"/>
      <c r="AI64" s="2676"/>
      <c r="AJ64" s="2677"/>
      <c r="AK64" s="2677"/>
      <c r="AL64" s="1902"/>
      <c r="AM64" s="1742"/>
      <c r="AN64" s="1742"/>
      <c r="AO64" s="1742"/>
      <c r="AP64" s="1742"/>
      <c r="AQ64" s="1742"/>
      <c r="AR64" s="1742"/>
      <c r="AS64" s="1742"/>
      <c r="AT64" s="1742"/>
      <c r="AU64" s="1742"/>
      <c r="AV64" s="1742"/>
      <c r="AW64" s="1742"/>
      <c r="AX64" s="1742"/>
      <c r="AY64" s="1742"/>
      <c r="AZ64" s="1742"/>
      <c r="BA64" s="1742"/>
      <c r="BB64" s="1742"/>
      <c r="BC64" s="1742"/>
      <c r="BD64" s="1742"/>
      <c r="BE64" s="1742"/>
      <c r="BF64" s="1742"/>
    </row>
    <row r="65" spans="1:58" ht="0.75" customHeight="1">
      <c r="A65" s="1089" t="s">
        <v>1161</v>
      </c>
      <c r="D65" s="1083"/>
      <c r="E65" s="1093"/>
      <c r="F65" s="2674"/>
      <c r="G65" s="2604"/>
      <c r="H65" s="2679"/>
      <c r="I65" s="2680"/>
      <c r="J65" s="2678"/>
      <c r="K65" s="2678"/>
      <c r="L65" s="2677"/>
      <c r="M65" s="2512"/>
      <c r="N65" s="2681"/>
      <c r="O65" s="2682"/>
      <c r="P65" s="2684"/>
      <c r="Q65" s="2678"/>
      <c r="R65" s="2678"/>
      <c r="S65" s="2678"/>
      <c r="T65" s="2678"/>
      <c r="U65" s="2678"/>
      <c r="V65" s="2678"/>
      <c r="W65" s="2678"/>
      <c r="X65" s="2678"/>
      <c r="Y65" s="2678"/>
      <c r="Z65" s="1955"/>
      <c r="AA65" s="1956"/>
      <c r="AB65" s="1957"/>
      <c r="AC65" s="1958"/>
      <c r="AD65" s="1957"/>
      <c r="AE65" s="1958"/>
      <c r="AF65" s="2676"/>
      <c r="AG65" s="2677"/>
      <c r="AH65" s="2677"/>
      <c r="AI65" s="2676"/>
      <c r="AJ65" s="2677"/>
      <c r="AK65" s="2677"/>
      <c r="AL65" s="1902"/>
      <c r="AM65" s="1742"/>
      <c r="AN65" s="1742"/>
      <c r="AO65" s="1742"/>
      <c r="AP65" s="1742"/>
      <c r="AQ65" s="1742"/>
      <c r="AR65" s="1742"/>
      <c r="AS65" s="1742"/>
      <c r="AT65" s="1742"/>
      <c r="AU65" s="1742"/>
      <c r="AV65" s="1742"/>
      <c r="AW65" s="1742"/>
      <c r="AX65" s="1742"/>
      <c r="AY65" s="1742"/>
      <c r="AZ65" s="1742"/>
      <c r="BA65" s="1742"/>
      <c r="BB65" s="1742"/>
      <c r="BC65" s="1742"/>
      <c r="BD65" s="1742"/>
      <c r="BE65" s="1742"/>
      <c r="BF65" s="1742"/>
    </row>
    <row r="66" spans="1:58" ht="0.75" customHeight="1">
      <c r="A66" s="1089" t="s">
        <v>1161</v>
      </c>
      <c r="D66" s="1083"/>
      <c r="E66" s="1093"/>
      <c r="F66" s="2674"/>
      <c r="G66" s="2604"/>
      <c r="H66" s="2679"/>
      <c r="I66" s="2680"/>
      <c r="J66" s="2678"/>
      <c r="K66" s="2678"/>
      <c r="L66" s="2677"/>
      <c r="M66" s="2512"/>
      <c r="N66" s="2681"/>
      <c r="O66" s="2682"/>
      <c r="P66" s="2685"/>
      <c r="Q66" s="2678"/>
      <c r="R66" s="2678"/>
      <c r="S66" s="2678"/>
      <c r="T66" s="2678"/>
      <c r="U66" s="2678"/>
      <c r="V66" s="2678"/>
      <c r="W66" s="2678"/>
      <c r="X66" s="2678"/>
      <c r="Y66" s="2678"/>
      <c r="Z66" s="1951"/>
      <c r="AA66" s="1952"/>
      <c r="AB66" s="1959"/>
      <c r="AC66" s="1953"/>
      <c r="AD66" s="1953"/>
      <c r="AE66" s="1960"/>
      <c r="AF66" s="2676"/>
      <c r="AG66" s="2677"/>
      <c r="AH66" s="2677"/>
      <c r="AI66" s="2676"/>
      <c r="AJ66" s="2677"/>
      <c r="AK66" s="2677"/>
      <c r="AL66" s="1902"/>
      <c r="AM66" s="1742"/>
      <c r="AN66" s="1742"/>
      <c r="AO66" s="1742"/>
      <c r="AP66" s="1742"/>
      <c r="AQ66" s="1742"/>
      <c r="AR66" s="1742"/>
      <c r="AS66" s="1742"/>
      <c r="AT66" s="1742"/>
      <c r="AU66" s="1742"/>
      <c r="AV66" s="1742"/>
      <c r="AW66" s="1742"/>
      <c r="AX66" s="1742"/>
      <c r="AY66" s="1742"/>
      <c r="AZ66" s="1742"/>
      <c r="BA66" s="1742"/>
      <c r="BB66" s="1742"/>
      <c r="BC66" s="1742"/>
      <c r="BD66" s="1742"/>
      <c r="BE66" s="1742"/>
      <c r="BF66" s="1742"/>
    </row>
    <row r="67" spans="1:58" ht="0.75" customHeight="1">
      <c r="A67" s="1089" t="s">
        <v>1161</v>
      </c>
      <c r="D67" s="1083"/>
      <c r="E67" s="1093"/>
      <c r="F67" s="2674"/>
      <c r="G67" s="2604"/>
      <c r="H67" s="2679"/>
      <c r="I67" s="2680"/>
      <c r="J67" s="2678"/>
      <c r="K67" s="2678"/>
      <c r="L67" s="2677"/>
      <c r="M67" s="2512"/>
      <c r="N67" s="1952"/>
      <c r="O67" s="1952"/>
      <c r="P67" s="1959"/>
      <c r="Q67" s="1952"/>
      <c r="R67" s="1952"/>
      <c r="S67" s="1952"/>
      <c r="T67" s="1952"/>
      <c r="U67" s="1952"/>
      <c r="V67" s="1952"/>
      <c r="W67" s="1952"/>
      <c r="X67" s="1952"/>
      <c r="Y67" s="1952"/>
      <c r="Z67" s="1952"/>
      <c r="AA67" s="1952"/>
      <c r="AB67" s="1952"/>
      <c r="AC67" s="1952"/>
      <c r="AD67" s="1952"/>
      <c r="AE67" s="1961"/>
      <c r="AF67" s="2676"/>
      <c r="AG67" s="2677"/>
      <c r="AH67" s="2677"/>
      <c r="AI67" s="2676"/>
      <c r="AJ67" s="2677"/>
      <c r="AK67" s="2677"/>
      <c r="AL67" s="1902"/>
      <c r="AM67" s="1742"/>
      <c r="AN67" s="1742"/>
      <c r="AO67" s="1742"/>
      <c r="AP67" s="1742"/>
      <c r="AQ67" s="1742"/>
      <c r="AR67" s="1742"/>
      <c r="AS67" s="1742"/>
      <c r="AT67" s="1742"/>
      <c r="AU67" s="1742"/>
      <c r="AV67" s="1742"/>
      <c r="AW67" s="1742"/>
      <c r="AX67" s="1742"/>
      <c r="AY67" s="1742"/>
      <c r="AZ67" s="1742"/>
      <c r="BA67" s="1742"/>
      <c r="BB67" s="1742"/>
      <c r="BC67" s="1742"/>
      <c r="BD67" s="1742"/>
      <c r="BE67" s="1742"/>
      <c r="BF67" s="1742"/>
    </row>
    <row r="68" spans="1:58" ht="12" customHeight="1">
      <c r="A68" s="1089" t="s">
        <v>1161</v>
      </c>
      <c r="D68" s="1083"/>
      <c r="E68" s="1093"/>
      <c r="F68" s="2675"/>
      <c r="G68" s="1113"/>
      <c r="H68" s="1113"/>
      <c r="I68" s="2673" t="s">
        <v>1193</v>
      </c>
      <c r="J68" s="2673"/>
      <c r="K68" s="2673"/>
      <c r="L68" s="1096"/>
      <c r="M68" s="1096"/>
      <c r="N68" s="1097"/>
      <c r="O68" s="1097"/>
      <c r="P68" s="1097"/>
      <c r="Q68" s="1097"/>
      <c r="R68" s="1097"/>
      <c r="S68" s="1097"/>
      <c r="T68" s="1097"/>
      <c r="U68" s="1097"/>
      <c r="V68" s="1097"/>
      <c r="W68" s="1097"/>
      <c r="X68" s="1097"/>
      <c r="Y68" s="1097"/>
      <c r="Z68" s="1097"/>
      <c r="AA68" s="1097"/>
      <c r="AB68" s="1097"/>
      <c r="AC68" s="1097"/>
      <c r="AD68" s="1097"/>
      <c r="AE68" s="1097"/>
      <c r="AF68" s="1097"/>
      <c r="AG68" s="1096"/>
      <c r="AH68" s="1096"/>
      <c r="AI68" s="1097"/>
      <c r="AJ68" s="1096"/>
      <c r="AK68" s="1097"/>
      <c r="AL68" s="1902"/>
      <c r="AM68" s="1742"/>
      <c r="AN68" s="1742"/>
      <c r="AO68" s="1742"/>
      <c r="AP68" s="1742"/>
      <c r="AQ68" s="1742"/>
      <c r="AR68" s="1742"/>
      <c r="AS68" s="1742"/>
      <c r="AT68" s="1742"/>
      <c r="AU68" s="1742"/>
      <c r="AV68" s="1742"/>
      <c r="AW68" s="1742"/>
      <c r="AX68" s="1742"/>
      <c r="AY68" s="1742"/>
      <c r="AZ68" s="1742"/>
      <c r="BA68" s="1742"/>
      <c r="BB68" s="1742"/>
      <c r="BC68" s="1742"/>
      <c r="BD68" s="1742"/>
      <c r="BE68" s="1742"/>
      <c r="BF68" s="1742"/>
    </row>
    <row r="69" spans="1:58" ht="0.75" customHeight="1">
      <c r="A69" s="1089" t="s">
        <v>1161</v>
      </c>
      <c r="D69" s="1083"/>
      <c r="E69" s="1093"/>
      <c r="F69" s="2674">
        <v>2023</v>
      </c>
      <c r="G69" s="2604"/>
      <c r="H69" s="2679" t="s">
        <v>395</v>
      </c>
      <c r="I69" s="2680"/>
      <c r="J69" s="2678"/>
      <c r="K69" s="2678"/>
      <c r="L69" s="2677"/>
      <c r="M69" s="2512"/>
      <c r="N69" s="1950"/>
      <c r="O69" s="1949"/>
      <c r="P69" s="1950"/>
      <c r="Q69" s="1950"/>
      <c r="R69" s="1950"/>
      <c r="S69" s="1950"/>
      <c r="T69" s="1950"/>
      <c r="U69" s="1950"/>
      <c r="V69" s="1950"/>
      <c r="W69" s="1950"/>
      <c r="X69" s="1950"/>
      <c r="Y69" s="1950"/>
      <c r="Z69" s="1950"/>
      <c r="AA69" s="1950"/>
      <c r="AB69" s="1950"/>
      <c r="AC69" s="1950"/>
      <c r="AD69" s="1950"/>
      <c r="AE69" s="1950"/>
      <c r="AF69" s="2676"/>
      <c r="AG69" s="2677"/>
      <c r="AH69" s="2677"/>
      <c r="AI69" s="2676"/>
      <c r="AJ69" s="2677"/>
      <c r="AK69" s="2677"/>
      <c r="AL69" s="1902"/>
      <c r="AM69" s="1742"/>
      <c r="AN69" s="1742"/>
      <c r="AO69" s="1742"/>
      <c r="AP69" s="1742"/>
      <c r="AQ69" s="1742"/>
      <c r="AR69" s="1742"/>
      <c r="AS69" s="1742"/>
      <c r="AT69" s="1742"/>
      <c r="AU69" s="1742"/>
      <c r="AV69" s="1742"/>
      <c r="AW69" s="1742"/>
      <c r="AX69" s="1742"/>
      <c r="AY69" s="1742"/>
      <c r="AZ69" s="1742"/>
      <c r="BA69" s="1742"/>
      <c r="BB69" s="1742"/>
      <c r="BC69" s="1742"/>
      <c r="BD69" s="1742"/>
      <c r="BE69" s="1742"/>
      <c r="BF69" s="1742"/>
    </row>
    <row r="70" spans="1:58" ht="0.75" customHeight="1">
      <c r="A70" s="1089" t="s">
        <v>1161</v>
      </c>
      <c r="D70" s="1083"/>
      <c r="E70" s="1093"/>
      <c r="F70" s="2674"/>
      <c r="G70" s="2604"/>
      <c r="H70" s="2679"/>
      <c r="I70" s="2680"/>
      <c r="J70" s="2678"/>
      <c r="K70" s="2678"/>
      <c r="L70" s="2677"/>
      <c r="M70" s="2512"/>
      <c r="N70" s="2681"/>
      <c r="O70" s="2682"/>
      <c r="P70" s="2683"/>
      <c r="Q70" s="2678"/>
      <c r="R70" s="2678"/>
      <c r="S70" s="2678"/>
      <c r="T70" s="2678"/>
      <c r="U70" s="2678"/>
      <c r="V70" s="2678"/>
      <c r="W70" s="2678"/>
      <c r="X70" s="2678"/>
      <c r="Y70" s="2678"/>
      <c r="Z70" s="1951"/>
      <c r="AA70" s="1952"/>
      <c r="AB70" s="1952"/>
      <c r="AC70" s="1953"/>
      <c r="AD70" s="1953"/>
      <c r="AE70" s="1954"/>
      <c r="AF70" s="2676"/>
      <c r="AG70" s="2677"/>
      <c r="AH70" s="2677"/>
      <c r="AI70" s="2676"/>
      <c r="AJ70" s="2677"/>
      <c r="AK70" s="2677"/>
      <c r="AL70" s="1902"/>
      <c r="AM70" s="1742"/>
      <c r="AN70" s="1742"/>
      <c r="AO70" s="1742"/>
      <c r="AP70" s="1742"/>
      <c r="AQ70" s="1742"/>
      <c r="AR70" s="1742"/>
      <c r="AS70" s="1742"/>
      <c r="AT70" s="1742"/>
      <c r="AU70" s="1742"/>
      <c r="AV70" s="1742"/>
      <c r="AW70" s="1742"/>
      <c r="AX70" s="1742"/>
      <c r="AY70" s="1742"/>
      <c r="AZ70" s="1742"/>
      <c r="BA70" s="1742"/>
      <c r="BB70" s="1742"/>
      <c r="BC70" s="1742"/>
      <c r="BD70" s="1742"/>
      <c r="BE70" s="1742"/>
      <c r="BF70" s="1742"/>
    </row>
    <row r="71" spans="1:58" ht="0.75" customHeight="1">
      <c r="A71" s="1089" t="s">
        <v>1161</v>
      </c>
      <c r="D71" s="1083"/>
      <c r="E71" s="1093"/>
      <c r="F71" s="2674"/>
      <c r="G71" s="2604"/>
      <c r="H71" s="2679"/>
      <c r="I71" s="2680"/>
      <c r="J71" s="2678"/>
      <c r="K71" s="2678"/>
      <c r="L71" s="2677"/>
      <c r="M71" s="2512"/>
      <c r="N71" s="2681"/>
      <c r="O71" s="2682"/>
      <c r="P71" s="2684"/>
      <c r="Q71" s="2678"/>
      <c r="R71" s="2678"/>
      <c r="S71" s="2678"/>
      <c r="T71" s="2678"/>
      <c r="U71" s="2678"/>
      <c r="V71" s="2678"/>
      <c r="W71" s="2678"/>
      <c r="X71" s="2678"/>
      <c r="Y71" s="2678"/>
      <c r="Z71" s="1955"/>
      <c r="AA71" s="1956"/>
      <c r="AB71" s="1957"/>
      <c r="AC71" s="1958"/>
      <c r="AD71" s="1957"/>
      <c r="AE71" s="1958"/>
      <c r="AF71" s="2676"/>
      <c r="AG71" s="2677"/>
      <c r="AH71" s="2677"/>
      <c r="AI71" s="2676"/>
      <c r="AJ71" s="2677"/>
      <c r="AK71" s="2677"/>
      <c r="AL71" s="1902"/>
      <c r="AM71" s="1742"/>
      <c r="AN71" s="1742"/>
      <c r="AO71" s="1742"/>
      <c r="AP71" s="1742"/>
      <c r="AQ71" s="1742"/>
      <c r="AR71" s="1742"/>
      <c r="AS71" s="1742"/>
      <c r="AT71" s="1742"/>
      <c r="AU71" s="1742"/>
      <c r="AV71" s="1742"/>
      <c r="AW71" s="1742"/>
      <c r="AX71" s="1742"/>
      <c r="AY71" s="1742"/>
      <c r="AZ71" s="1742"/>
      <c r="BA71" s="1742"/>
      <c r="BB71" s="1742"/>
      <c r="BC71" s="1742"/>
      <c r="BD71" s="1742"/>
      <c r="BE71" s="1742"/>
      <c r="BF71" s="1742"/>
    </row>
    <row r="72" spans="1:58" ht="0.75" customHeight="1">
      <c r="A72" s="1089" t="s">
        <v>1161</v>
      </c>
      <c r="D72" s="1083"/>
      <c r="E72" s="1093"/>
      <c r="F72" s="2674"/>
      <c r="G72" s="2604"/>
      <c r="H72" s="2679"/>
      <c r="I72" s="2680"/>
      <c r="J72" s="2678"/>
      <c r="K72" s="2678"/>
      <c r="L72" s="2677"/>
      <c r="M72" s="2512"/>
      <c r="N72" s="2681"/>
      <c r="O72" s="2682"/>
      <c r="P72" s="2685"/>
      <c r="Q72" s="2678"/>
      <c r="R72" s="2678"/>
      <c r="S72" s="2678"/>
      <c r="T72" s="2678"/>
      <c r="U72" s="2678"/>
      <c r="V72" s="2678"/>
      <c r="W72" s="2678"/>
      <c r="X72" s="2678"/>
      <c r="Y72" s="2678"/>
      <c r="Z72" s="1951"/>
      <c r="AA72" s="1952"/>
      <c r="AB72" s="1959"/>
      <c r="AC72" s="1953"/>
      <c r="AD72" s="1953"/>
      <c r="AE72" s="1960"/>
      <c r="AF72" s="2676"/>
      <c r="AG72" s="2677"/>
      <c r="AH72" s="2677"/>
      <c r="AI72" s="2676"/>
      <c r="AJ72" s="2677"/>
      <c r="AK72" s="2677"/>
      <c r="AL72" s="1902"/>
      <c r="AM72" s="1742"/>
      <c r="AN72" s="1742"/>
      <c r="AO72" s="1742"/>
      <c r="AP72" s="1742"/>
      <c r="AQ72" s="1742"/>
      <c r="AR72" s="1742"/>
      <c r="AS72" s="1742"/>
      <c r="AT72" s="1742"/>
      <c r="AU72" s="1742"/>
      <c r="AV72" s="1742"/>
      <c r="AW72" s="1742"/>
      <c r="AX72" s="1742"/>
      <c r="AY72" s="1742"/>
      <c r="AZ72" s="1742"/>
      <c r="BA72" s="1742"/>
      <c r="BB72" s="1742"/>
      <c r="BC72" s="1742"/>
      <c r="BD72" s="1742"/>
      <c r="BE72" s="1742"/>
      <c r="BF72" s="1742"/>
    </row>
    <row r="73" spans="1:58" ht="0.75" customHeight="1">
      <c r="A73" s="1089" t="s">
        <v>1161</v>
      </c>
      <c r="D73" s="1083"/>
      <c r="E73" s="1093"/>
      <c r="F73" s="2674"/>
      <c r="G73" s="2604"/>
      <c r="H73" s="2679"/>
      <c r="I73" s="2680"/>
      <c r="J73" s="2678"/>
      <c r="K73" s="2678"/>
      <c r="L73" s="2677"/>
      <c r="M73" s="2512"/>
      <c r="N73" s="1952"/>
      <c r="O73" s="1952"/>
      <c r="P73" s="1959"/>
      <c r="Q73" s="1952"/>
      <c r="R73" s="1952"/>
      <c r="S73" s="1952"/>
      <c r="T73" s="1952"/>
      <c r="U73" s="1952"/>
      <c r="V73" s="1952"/>
      <c r="W73" s="1952"/>
      <c r="X73" s="1952"/>
      <c r="Y73" s="1952"/>
      <c r="Z73" s="1952"/>
      <c r="AA73" s="1952"/>
      <c r="AB73" s="1952"/>
      <c r="AC73" s="1952"/>
      <c r="AD73" s="1952"/>
      <c r="AE73" s="1961"/>
      <c r="AF73" s="2676"/>
      <c r="AG73" s="2677"/>
      <c r="AH73" s="2677"/>
      <c r="AI73" s="2676"/>
      <c r="AJ73" s="2677"/>
      <c r="AK73" s="2677"/>
      <c r="AL73" s="1902"/>
      <c r="AM73" s="1742"/>
      <c r="AN73" s="1742"/>
      <c r="AO73" s="1742"/>
      <c r="AP73" s="1742"/>
      <c r="AQ73" s="1742"/>
      <c r="AR73" s="1742"/>
      <c r="AS73" s="1742"/>
      <c r="AT73" s="1742"/>
      <c r="AU73" s="1742"/>
      <c r="AV73" s="1742"/>
      <c r="AW73" s="1742"/>
      <c r="AX73" s="1742"/>
      <c r="AY73" s="1742"/>
      <c r="AZ73" s="1742"/>
      <c r="BA73" s="1742"/>
      <c r="BB73" s="1742"/>
      <c r="BC73" s="1742"/>
      <c r="BD73" s="1742"/>
      <c r="BE73" s="1742"/>
      <c r="BF73" s="1742"/>
    </row>
    <row r="74" spans="1:58" ht="12" customHeight="1">
      <c r="A74" s="1089" t="s">
        <v>1161</v>
      </c>
      <c r="D74" s="1083"/>
      <c r="E74" s="1093"/>
      <c r="F74" s="2675"/>
      <c r="G74" s="1113"/>
      <c r="H74" s="1113"/>
      <c r="I74" s="2673" t="s">
        <v>1193</v>
      </c>
      <c r="J74" s="2673"/>
      <c r="K74" s="2673"/>
      <c r="L74" s="1096"/>
      <c r="M74" s="1096"/>
      <c r="N74" s="1097"/>
      <c r="O74" s="1097"/>
      <c r="P74" s="1097"/>
      <c r="Q74" s="1097"/>
      <c r="R74" s="1097"/>
      <c r="S74" s="1097"/>
      <c r="T74" s="1097"/>
      <c r="U74" s="1097"/>
      <c r="V74" s="1097"/>
      <c r="W74" s="1097"/>
      <c r="X74" s="1097"/>
      <c r="Y74" s="1097"/>
      <c r="Z74" s="1097"/>
      <c r="AA74" s="1097"/>
      <c r="AB74" s="1097"/>
      <c r="AC74" s="1097"/>
      <c r="AD74" s="1097"/>
      <c r="AE74" s="1097"/>
      <c r="AF74" s="1097"/>
      <c r="AG74" s="1096"/>
      <c r="AH74" s="1096"/>
      <c r="AI74" s="1097"/>
      <c r="AJ74" s="1096"/>
      <c r="AK74" s="1097"/>
      <c r="AL74" s="1902"/>
      <c r="AM74" s="1742"/>
      <c r="AN74" s="1742"/>
      <c r="AO74" s="1742"/>
      <c r="AP74" s="1742"/>
      <c r="AQ74" s="1742"/>
      <c r="AR74" s="1742"/>
      <c r="AS74" s="1742"/>
      <c r="AT74" s="1742"/>
      <c r="AU74" s="1742"/>
      <c r="AV74" s="1742"/>
      <c r="AW74" s="1742"/>
      <c r="AX74" s="1742"/>
      <c r="AY74" s="1742"/>
      <c r="AZ74" s="1742"/>
      <c r="BA74" s="1742"/>
      <c r="BB74" s="1742"/>
      <c r="BC74" s="1742"/>
      <c r="BD74" s="1742"/>
      <c r="BE74" s="1742"/>
      <c r="BF74" s="1742"/>
    </row>
    <row r="75" spans="1:58" ht="0.75" customHeight="1">
      <c r="A75" s="1089" t="s">
        <v>1161</v>
      </c>
      <c r="D75" s="1083"/>
      <c r="E75" s="1093"/>
      <c r="F75" s="2674">
        <v>2024</v>
      </c>
      <c r="G75" s="2604"/>
      <c r="H75" s="2679" t="s">
        <v>395</v>
      </c>
      <c r="I75" s="2680"/>
      <c r="J75" s="2678"/>
      <c r="K75" s="2678"/>
      <c r="L75" s="2677"/>
      <c r="M75" s="2512"/>
      <c r="N75" s="1950"/>
      <c r="O75" s="1949"/>
      <c r="P75" s="1950"/>
      <c r="Q75" s="1950"/>
      <c r="R75" s="1950"/>
      <c r="S75" s="1950"/>
      <c r="T75" s="1950"/>
      <c r="U75" s="1950"/>
      <c r="V75" s="1950"/>
      <c r="W75" s="1950"/>
      <c r="X75" s="1950"/>
      <c r="Y75" s="1950"/>
      <c r="Z75" s="1950"/>
      <c r="AA75" s="1950"/>
      <c r="AB75" s="1950"/>
      <c r="AC75" s="1950"/>
      <c r="AD75" s="1950"/>
      <c r="AE75" s="1950"/>
      <c r="AF75" s="2676"/>
      <c r="AG75" s="2677"/>
      <c r="AH75" s="2677"/>
      <c r="AI75" s="2676"/>
      <c r="AJ75" s="2677"/>
      <c r="AK75" s="2677"/>
      <c r="AL75" s="1902"/>
      <c r="AM75" s="1742"/>
      <c r="AN75" s="1742"/>
      <c r="AO75" s="1742"/>
      <c r="AP75" s="1742"/>
      <c r="AQ75" s="1742"/>
      <c r="AR75" s="1742"/>
      <c r="AS75" s="1742"/>
      <c r="AT75" s="1742"/>
      <c r="AU75" s="1742"/>
      <c r="AV75" s="1742"/>
      <c r="AW75" s="1742"/>
      <c r="AX75" s="1742"/>
      <c r="AY75" s="1742"/>
      <c r="AZ75" s="1742"/>
      <c r="BA75" s="1742"/>
      <c r="BB75" s="1742"/>
      <c r="BC75" s="1742"/>
      <c r="BD75" s="1742"/>
      <c r="BE75" s="1742"/>
      <c r="BF75" s="1742"/>
    </row>
    <row r="76" spans="1:58" ht="0.75" customHeight="1">
      <c r="A76" s="1089" t="s">
        <v>1161</v>
      </c>
      <c r="D76" s="1083"/>
      <c r="E76" s="1093"/>
      <c r="F76" s="2674"/>
      <c r="G76" s="2604"/>
      <c r="H76" s="2679"/>
      <c r="I76" s="2680"/>
      <c r="J76" s="2678"/>
      <c r="K76" s="2678"/>
      <c r="L76" s="2677"/>
      <c r="M76" s="2512"/>
      <c r="N76" s="2681"/>
      <c r="O76" s="2682"/>
      <c r="P76" s="2683"/>
      <c r="Q76" s="2678"/>
      <c r="R76" s="2678"/>
      <c r="S76" s="2678"/>
      <c r="T76" s="2678"/>
      <c r="U76" s="2678"/>
      <c r="V76" s="2678"/>
      <c r="W76" s="2678"/>
      <c r="X76" s="2678"/>
      <c r="Y76" s="2678"/>
      <c r="Z76" s="1951"/>
      <c r="AA76" s="1952"/>
      <c r="AB76" s="1952"/>
      <c r="AC76" s="1953"/>
      <c r="AD76" s="1953"/>
      <c r="AE76" s="1954"/>
      <c r="AF76" s="2676"/>
      <c r="AG76" s="2677"/>
      <c r="AH76" s="2677"/>
      <c r="AI76" s="2676"/>
      <c r="AJ76" s="2677"/>
      <c r="AK76" s="2677"/>
      <c r="AL76" s="1902"/>
      <c r="AM76" s="1742"/>
      <c r="AN76" s="1742"/>
      <c r="AO76" s="1742"/>
      <c r="AP76" s="1742"/>
      <c r="AQ76" s="1742"/>
      <c r="AR76" s="1742"/>
      <c r="AS76" s="1742"/>
      <c r="AT76" s="1742"/>
      <c r="AU76" s="1742"/>
      <c r="AV76" s="1742"/>
      <c r="AW76" s="1742"/>
      <c r="AX76" s="1742"/>
      <c r="AY76" s="1742"/>
      <c r="AZ76" s="1742"/>
      <c r="BA76" s="1742"/>
      <c r="BB76" s="1742"/>
      <c r="BC76" s="1742"/>
      <c r="BD76" s="1742"/>
      <c r="BE76" s="1742"/>
      <c r="BF76" s="1742"/>
    </row>
    <row r="77" spans="1:58" ht="0.75" customHeight="1">
      <c r="A77" s="1089" t="s">
        <v>1161</v>
      </c>
      <c r="D77" s="1083"/>
      <c r="E77" s="1093"/>
      <c r="F77" s="2674"/>
      <c r="G77" s="2604"/>
      <c r="H77" s="2679"/>
      <c r="I77" s="2680"/>
      <c r="J77" s="2678"/>
      <c r="K77" s="2678"/>
      <c r="L77" s="2677"/>
      <c r="M77" s="2512"/>
      <c r="N77" s="2681"/>
      <c r="O77" s="2682"/>
      <c r="P77" s="2684"/>
      <c r="Q77" s="2678"/>
      <c r="R77" s="2678"/>
      <c r="S77" s="2678"/>
      <c r="T77" s="2678"/>
      <c r="U77" s="2678"/>
      <c r="V77" s="2678"/>
      <c r="W77" s="2678"/>
      <c r="X77" s="2678"/>
      <c r="Y77" s="2678"/>
      <c r="Z77" s="1955"/>
      <c r="AA77" s="1956"/>
      <c r="AB77" s="1957"/>
      <c r="AC77" s="1958"/>
      <c r="AD77" s="1957"/>
      <c r="AE77" s="1958"/>
      <c r="AF77" s="2676"/>
      <c r="AG77" s="2677"/>
      <c r="AH77" s="2677"/>
      <c r="AI77" s="2676"/>
      <c r="AJ77" s="2677"/>
      <c r="AK77" s="2677"/>
      <c r="AL77" s="1902"/>
      <c r="AM77" s="1742"/>
      <c r="AN77" s="1742"/>
      <c r="AO77" s="1742"/>
      <c r="AP77" s="1742"/>
      <c r="AQ77" s="1742"/>
      <c r="AR77" s="1742"/>
      <c r="AS77" s="1742"/>
      <c r="AT77" s="1742"/>
      <c r="AU77" s="1742"/>
      <c r="AV77" s="1742"/>
      <c r="AW77" s="1742"/>
      <c r="AX77" s="1742"/>
      <c r="AY77" s="1742"/>
      <c r="AZ77" s="1742"/>
      <c r="BA77" s="1742"/>
      <c r="BB77" s="1742"/>
      <c r="BC77" s="1742"/>
      <c r="BD77" s="1742"/>
      <c r="BE77" s="1742"/>
      <c r="BF77" s="1742"/>
    </row>
    <row r="78" spans="1:58" ht="0.75" customHeight="1">
      <c r="A78" s="1089" t="s">
        <v>1161</v>
      </c>
      <c r="D78" s="1083"/>
      <c r="E78" s="1093"/>
      <c r="F78" s="2674"/>
      <c r="G78" s="2604"/>
      <c r="H78" s="2679"/>
      <c r="I78" s="2680"/>
      <c r="J78" s="2678"/>
      <c r="K78" s="2678"/>
      <c r="L78" s="2677"/>
      <c r="M78" s="2512"/>
      <c r="N78" s="2681"/>
      <c r="O78" s="2682"/>
      <c r="P78" s="2685"/>
      <c r="Q78" s="2678"/>
      <c r="R78" s="2678"/>
      <c r="S78" s="2678"/>
      <c r="T78" s="2678"/>
      <c r="U78" s="2678"/>
      <c r="V78" s="2678"/>
      <c r="W78" s="2678"/>
      <c r="X78" s="2678"/>
      <c r="Y78" s="2678"/>
      <c r="Z78" s="1951"/>
      <c r="AA78" s="1952"/>
      <c r="AB78" s="1959"/>
      <c r="AC78" s="1953"/>
      <c r="AD78" s="1953"/>
      <c r="AE78" s="1960"/>
      <c r="AF78" s="2676"/>
      <c r="AG78" s="2677"/>
      <c r="AH78" s="2677"/>
      <c r="AI78" s="2676"/>
      <c r="AJ78" s="2677"/>
      <c r="AK78" s="2677"/>
      <c r="AL78" s="1902"/>
      <c r="AM78" s="1742"/>
      <c r="AN78" s="1742"/>
      <c r="AO78" s="1742"/>
      <c r="AP78" s="1742"/>
      <c r="AQ78" s="1742"/>
      <c r="AR78" s="1742"/>
      <c r="AS78" s="1742"/>
      <c r="AT78" s="1742"/>
      <c r="AU78" s="1742"/>
      <c r="AV78" s="1742"/>
      <c r="AW78" s="1742"/>
      <c r="AX78" s="1742"/>
      <c r="AY78" s="1742"/>
      <c r="AZ78" s="1742"/>
      <c r="BA78" s="1742"/>
      <c r="BB78" s="1742"/>
      <c r="BC78" s="1742"/>
      <c r="BD78" s="1742"/>
      <c r="BE78" s="1742"/>
      <c r="BF78" s="1742"/>
    </row>
    <row r="79" spans="1:58" ht="0.75" customHeight="1">
      <c r="A79" s="1089" t="s">
        <v>1161</v>
      </c>
      <c r="D79" s="1083"/>
      <c r="E79" s="1093"/>
      <c r="F79" s="2674"/>
      <c r="G79" s="2604"/>
      <c r="H79" s="2679"/>
      <c r="I79" s="2680"/>
      <c r="J79" s="2678"/>
      <c r="K79" s="2678"/>
      <c r="L79" s="2677"/>
      <c r="M79" s="2512"/>
      <c r="N79" s="1952"/>
      <c r="O79" s="1952"/>
      <c r="P79" s="1959"/>
      <c r="Q79" s="1952"/>
      <c r="R79" s="1952"/>
      <c r="S79" s="1952"/>
      <c r="T79" s="1952"/>
      <c r="U79" s="1952"/>
      <c r="V79" s="1952"/>
      <c r="W79" s="1952"/>
      <c r="X79" s="1952"/>
      <c r="Y79" s="1952"/>
      <c r="Z79" s="1952"/>
      <c r="AA79" s="1952"/>
      <c r="AB79" s="1952"/>
      <c r="AC79" s="1952"/>
      <c r="AD79" s="1952"/>
      <c r="AE79" s="1961"/>
      <c r="AF79" s="2676"/>
      <c r="AG79" s="2677"/>
      <c r="AH79" s="2677"/>
      <c r="AI79" s="2676"/>
      <c r="AJ79" s="2677"/>
      <c r="AK79" s="2677"/>
      <c r="AL79" s="1902"/>
      <c r="AM79" s="1742"/>
      <c r="AN79" s="1742"/>
      <c r="AO79" s="1742"/>
      <c r="AP79" s="1742"/>
      <c r="AQ79" s="1742"/>
      <c r="AR79" s="1742"/>
      <c r="AS79" s="1742"/>
      <c r="AT79" s="1742"/>
      <c r="AU79" s="1742"/>
      <c r="AV79" s="1742"/>
      <c r="AW79" s="1742"/>
      <c r="AX79" s="1742"/>
      <c r="AY79" s="1742"/>
      <c r="AZ79" s="1742"/>
      <c r="BA79" s="1742"/>
      <c r="BB79" s="1742"/>
      <c r="BC79" s="1742"/>
      <c r="BD79" s="1742"/>
      <c r="BE79" s="1742"/>
      <c r="BF79" s="1742"/>
    </row>
    <row r="80" spans="1:58" ht="12" customHeight="1">
      <c r="A80" s="1089" t="s">
        <v>1161</v>
      </c>
      <c r="D80" s="1083"/>
      <c r="E80" s="1093"/>
      <c r="F80" s="2675"/>
      <c r="G80" s="1113"/>
      <c r="H80" s="1113"/>
      <c r="I80" s="2673" t="s">
        <v>1193</v>
      </c>
      <c r="J80" s="2673"/>
      <c r="K80" s="2673"/>
      <c r="L80" s="1096"/>
      <c r="M80" s="1096"/>
      <c r="N80" s="1097"/>
      <c r="O80" s="1097"/>
      <c r="P80" s="1097"/>
      <c r="Q80" s="1097"/>
      <c r="R80" s="1097"/>
      <c r="S80" s="1097"/>
      <c r="T80" s="1097"/>
      <c r="U80" s="1097"/>
      <c r="V80" s="1097"/>
      <c r="W80" s="1097"/>
      <c r="X80" s="1097"/>
      <c r="Y80" s="1097"/>
      <c r="Z80" s="1097"/>
      <c r="AA80" s="1097"/>
      <c r="AB80" s="1097"/>
      <c r="AC80" s="1097"/>
      <c r="AD80" s="1097"/>
      <c r="AE80" s="1097"/>
      <c r="AF80" s="1097"/>
      <c r="AG80" s="1096"/>
      <c r="AH80" s="1096"/>
      <c r="AI80" s="1097"/>
      <c r="AJ80" s="1096"/>
      <c r="AK80" s="1097"/>
      <c r="AL80" s="1902"/>
      <c r="AM80" s="1742"/>
      <c r="AN80" s="1742"/>
      <c r="AO80" s="1742"/>
      <c r="AP80" s="1742"/>
      <c r="AQ80" s="1742"/>
      <c r="AR80" s="1742"/>
      <c r="AS80" s="1742"/>
      <c r="AT80" s="1742"/>
      <c r="AU80" s="1742"/>
      <c r="AV80" s="1742"/>
      <c r="AW80" s="1742"/>
      <c r="AX80" s="1742"/>
      <c r="AY80" s="1742"/>
      <c r="AZ80" s="1742"/>
      <c r="BA80" s="1742"/>
      <c r="BB80" s="1742"/>
      <c r="BC80" s="1742"/>
      <c r="BD80" s="1742"/>
      <c r="BE80" s="1742"/>
      <c r="BF80" s="1742"/>
    </row>
    <row r="81" spans="1:58" ht="0.75" customHeight="1">
      <c r="A81" s="1089" t="s">
        <v>1161</v>
      </c>
      <c r="D81" s="1083"/>
      <c r="E81" s="1093"/>
      <c r="F81" s="2674">
        <v>2025</v>
      </c>
      <c r="G81" s="2604"/>
      <c r="H81" s="2679" t="s">
        <v>395</v>
      </c>
      <c r="I81" s="2680"/>
      <c r="J81" s="2678"/>
      <c r="K81" s="2678"/>
      <c r="L81" s="2677"/>
      <c r="M81" s="2512"/>
      <c r="N81" s="1950"/>
      <c r="O81" s="1949"/>
      <c r="P81" s="1950"/>
      <c r="Q81" s="1950"/>
      <c r="R81" s="1950"/>
      <c r="S81" s="1950"/>
      <c r="T81" s="1950"/>
      <c r="U81" s="1950"/>
      <c r="V81" s="1950"/>
      <c r="W81" s="1950"/>
      <c r="X81" s="1950"/>
      <c r="Y81" s="1950"/>
      <c r="Z81" s="1950"/>
      <c r="AA81" s="1950"/>
      <c r="AB81" s="1950"/>
      <c r="AC81" s="1950"/>
      <c r="AD81" s="1950"/>
      <c r="AE81" s="1950"/>
      <c r="AF81" s="2676"/>
      <c r="AG81" s="2677"/>
      <c r="AH81" s="2677"/>
      <c r="AI81" s="2676"/>
      <c r="AJ81" s="2677"/>
      <c r="AK81" s="2677"/>
      <c r="AL81" s="1902"/>
      <c r="AM81" s="1742"/>
      <c r="AN81" s="1742"/>
      <c r="AO81" s="1742"/>
      <c r="AP81" s="1742"/>
      <c r="AQ81" s="1742"/>
      <c r="AR81" s="1742"/>
      <c r="AS81" s="1742"/>
      <c r="AT81" s="1742"/>
      <c r="AU81" s="1742"/>
      <c r="AV81" s="1742"/>
      <c r="AW81" s="1742"/>
      <c r="AX81" s="1742"/>
      <c r="AY81" s="1742"/>
      <c r="AZ81" s="1742"/>
      <c r="BA81" s="1742"/>
      <c r="BB81" s="1742"/>
      <c r="BC81" s="1742"/>
      <c r="BD81" s="1742"/>
      <c r="BE81" s="1742"/>
      <c r="BF81" s="1742"/>
    </row>
    <row r="82" spans="1:58" ht="0.75" customHeight="1">
      <c r="A82" s="1089" t="s">
        <v>1161</v>
      </c>
      <c r="D82" s="1083"/>
      <c r="E82" s="1093"/>
      <c r="F82" s="2674"/>
      <c r="G82" s="2604"/>
      <c r="H82" s="2679"/>
      <c r="I82" s="2680"/>
      <c r="J82" s="2678"/>
      <c r="K82" s="2678"/>
      <c r="L82" s="2677"/>
      <c r="M82" s="2512"/>
      <c r="N82" s="2681"/>
      <c r="O82" s="2682"/>
      <c r="P82" s="2683"/>
      <c r="Q82" s="2678"/>
      <c r="R82" s="2678"/>
      <c r="S82" s="2678"/>
      <c r="T82" s="2678"/>
      <c r="U82" s="2678"/>
      <c r="V82" s="2678"/>
      <c r="W82" s="2678"/>
      <c r="X82" s="2678"/>
      <c r="Y82" s="2678"/>
      <c r="Z82" s="1951"/>
      <c r="AA82" s="1952"/>
      <c r="AB82" s="1952"/>
      <c r="AC82" s="1953"/>
      <c r="AD82" s="1953"/>
      <c r="AE82" s="1954"/>
      <c r="AF82" s="2676"/>
      <c r="AG82" s="2677"/>
      <c r="AH82" s="2677"/>
      <c r="AI82" s="2676"/>
      <c r="AJ82" s="2677"/>
      <c r="AK82" s="2677"/>
      <c r="AL82" s="1902"/>
      <c r="AM82" s="1742"/>
      <c r="AN82" s="1742"/>
      <c r="AO82" s="1742"/>
      <c r="AP82" s="1742"/>
      <c r="AQ82" s="1742"/>
      <c r="AR82" s="1742"/>
      <c r="AS82" s="1742"/>
      <c r="AT82" s="1742"/>
      <c r="AU82" s="1742"/>
      <c r="AV82" s="1742"/>
      <c r="AW82" s="1742"/>
      <c r="AX82" s="1742"/>
      <c r="AY82" s="1742"/>
      <c r="AZ82" s="1742"/>
      <c r="BA82" s="1742"/>
      <c r="BB82" s="1742"/>
      <c r="BC82" s="1742"/>
      <c r="BD82" s="1742"/>
      <c r="BE82" s="1742"/>
      <c r="BF82" s="1742"/>
    </row>
    <row r="83" spans="1:58" ht="0.75" customHeight="1">
      <c r="A83" s="1089" t="s">
        <v>1161</v>
      </c>
      <c r="D83" s="1083"/>
      <c r="E83" s="1093"/>
      <c r="F83" s="2674"/>
      <c r="G83" s="2604"/>
      <c r="H83" s="2679"/>
      <c r="I83" s="2680"/>
      <c r="J83" s="2678"/>
      <c r="K83" s="2678"/>
      <c r="L83" s="2677"/>
      <c r="M83" s="2512"/>
      <c r="N83" s="2681"/>
      <c r="O83" s="2682"/>
      <c r="P83" s="2684"/>
      <c r="Q83" s="2678"/>
      <c r="R83" s="2678"/>
      <c r="S83" s="2678"/>
      <c r="T83" s="2678"/>
      <c r="U83" s="2678"/>
      <c r="V83" s="2678"/>
      <c r="W83" s="2678"/>
      <c r="X83" s="2678"/>
      <c r="Y83" s="2678"/>
      <c r="Z83" s="1955"/>
      <c r="AA83" s="1956"/>
      <c r="AB83" s="1957"/>
      <c r="AC83" s="1958"/>
      <c r="AD83" s="1957"/>
      <c r="AE83" s="1958"/>
      <c r="AF83" s="2676"/>
      <c r="AG83" s="2677"/>
      <c r="AH83" s="2677"/>
      <c r="AI83" s="2676"/>
      <c r="AJ83" s="2677"/>
      <c r="AK83" s="2677"/>
      <c r="AL83" s="1902"/>
      <c r="AM83" s="1742"/>
      <c r="AN83" s="1742"/>
      <c r="AO83" s="1742"/>
      <c r="AP83" s="1742"/>
      <c r="AQ83" s="1742"/>
      <c r="AR83" s="1742"/>
      <c r="AS83" s="1742"/>
      <c r="AT83" s="1742"/>
      <c r="AU83" s="1742"/>
      <c r="AV83" s="1742"/>
      <c r="AW83" s="1742"/>
      <c r="AX83" s="1742"/>
      <c r="AY83" s="1742"/>
      <c r="AZ83" s="1742"/>
      <c r="BA83" s="1742"/>
      <c r="BB83" s="1742"/>
      <c r="BC83" s="1742"/>
      <c r="BD83" s="1742"/>
      <c r="BE83" s="1742"/>
      <c r="BF83" s="1742"/>
    </row>
    <row r="84" spans="1:58" ht="0.75" customHeight="1">
      <c r="A84" s="1089" t="s">
        <v>1161</v>
      </c>
      <c r="D84" s="1083"/>
      <c r="E84" s="1093"/>
      <c r="F84" s="2674"/>
      <c r="G84" s="2604"/>
      <c r="H84" s="2679"/>
      <c r="I84" s="2680"/>
      <c r="J84" s="2678"/>
      <c r="K84" s="2678"/>
      <c r="L84" s="2677"/>
      <c r="M84" s="2512"/>
      <c r="N84" s="2681"/>
      <c r="O84" s="2682"/>
      <c r="P84" s="2685"/>
      <c r="Q84" s="2678"/>
      <c r="R84" s="2678"/>
      <c r="S84" s="2678"/>
      <c r="T84" s="2678"/>
      <c r="U84" s="2678"/>
      <c r="V84" s="2678"/>
      <c r="W84" s="2678"/>
      <c r="X84" s="2678"/>
      <c r="Y84" s="2678"/>
      <c r="Z84" s="1951"/>
      <c r="AA84" s="1952"/>
      <c r="AB84" s="1959"/>
      <c r="AC84" s="1953"/>
      <c r="AD84" s="1953"/>
      <c r="AE84" s="1960"/>
      <c r="AF84" s="2676"/>
      <c r="AG84" s="2677"/>
      <c r="AH84" s="2677"/>
      <c r="AI84" s="2676"/>
      <c r="AJ84" s="2677"/>
      <c r="AK84" s="2677"/>
      <c r="AL84" s="1902"/>
      <c r="AM84" s="1742"/>
      <c r="AN84" s="1742"/>
      <c r="AO84" s="1742"/>
      <c r="AP84" s="1742"/>
      <c r="AQ84" s="1742"/>
      <c r="AR84" s="1742"/>
      <c r="AS84" s="1742"/>
      <c r="AT84" s="1742"/>
      <c r="AU84" s="1742"/>
      <c r="AV84" s="1742"/>
      <c r="AW84" s="1742"/>
      <c r="AX84" s="1742"/>
      <c r="AY84" s="1742"/>
      <c r="AZ84" s="1742"/>
      <c r="BA84" s="1742"/>
      <c r="BB84" s="1742"/>
      <c r="BC84" s="1742"/>
      <c r="BD84" s="1742"/>
      <c r="BE84" s="1742"/>
      <c r="BF84" s="1742"/>
    </row>
    <row r="85" spans="1:58" ht="0.75" customHeight="1">
      <c r="A85" s="1089" t="s">
        <v>1161</v>
      </c>
      <c r="D85" s="1083"/>
      <c r="E85" s="1093"/>
      <c r="F85" s="2674"/>
      <c r="G85" s="2604"/>
      <c r="H85" s="2679"/>
      <c r="I85" s="2680"/>
      <c r="J85" s="2678"/>
      <c r="K85" s="2678"/>
      <c r="L85" s="2677"/>
      <c r="M85" s="2512"/>
      <c r="N85" s="1952"/>
      <c r="O85" s="1952"/>
      <c r="P85" s="1959"/>
      <c r="Q85" s="1952"/>
      <c r="R85" s="1952"/>
      <c r="S85" s="1952"/>
      <c r="T85" s="1952"/>
      <c r="U85" s="1952"/>
      <c r="V85" s="1952"/>
      <c r="W85" s="1952"/>
      <c r="X85" s="1952"/>
      <c r="Y85" s="1952"/>
      <c r="Z85" s="1952"/>
      <c r="AA85" s="1952"/>
      <c r="AB85" s="1952"/>
      <c r="AC85" s="1952"/>
      <c r="AD85" s="1952"/>
      <c r="AE85" s="1961"/>
      <c r="AF85" s="2676"/>
      <c r="AG85" s="2677"/>
      <c r="AH85" s="2677"/>
      <c r="AI85" s="2676"/>
      <c r="AJ85" s="2677"/>
      <c r="AK85" s="2677"/>
      <c r="AL85" s="1902"/>
      <c r="AM85" s="1742"/>
      <c r="AN85" s="1742"/>
      <c r="AO85" s="1742"/>
      <c r="AP85" s="1742"/>
      <c r="AQ85" s="1742"/>
      <c r="AR85" s="1742"/>
      <c r="AS85" s="1742"/>
      <c r="AT85" s="1742"/>
      <c r="AU85" s="1742"/>
      <c r="AV85" s="1742"/>
      <c r="AW85" s="1742"/>
      <c r="AX85" s="1742"/>
      <c r="AY85" s="1742"/>
      <c r="AZ85" s="1742"/>
      <c r="BA85" s="1742"/>
      <c r="BB85" s="1742"/>
      <c r="BC85" s="1742"/>
      <c r="BD85" s="1742"/>
      <c r="BE85" s="1742"/>
      <c r="BF85" s="1742"/>
    </row>
    <row r="86" spans="1:58" ht="11.25" customHeight="1">
      <c r="A86" s="1089" t="s">
        <v>1161</v>
      </c>
      <c r="B86" s="1089" t="s">
        <v>1194</v>
      </c>
      <c r="D86" s="1083"/>
      <c r="E86" s="1093"/>
      <c r="F86" s="2686"/>
      <c r="G86" s="2362" t="s">
        <v>104</v>
      </c>
      <c r="H86" s="2604" t="s">
        <v>100</v>
      </c>
      <c r="I86" s="2667" t="s">
        <v>1195</v>
      </c>
      <c r="J86" s="2672" t="s">
        <v>1196</v>
      </c>
      <c r="K86" s="2669"/>
      <c r="L86" s="2360" t="s">
        <v>19</v>
      </c>
      <c r="M86" s="2365"/>
      <c r="N86" s="1900"/>
      <c r="O86" s="1100" t="s">
        <v>395</v>
      </c>
      <c r="P86" s="1101"/>
      <c r="Q86" s="1101"/>
      <c r="R86" s="1101"/>
      <c r="S86" s="1101"/>
      <c r="T86" s="1101"/>
      <c r="U86" s="1101"/>
      <c r="V86" s="1101"/>
      <c r="W86" s="1101"/>
      <c r="X86" s="1101"/>
      <c r="Y86" s="1101"/>
      <c r="Z86" s="1101"/>
      <c r="AA86" s="1101"/>
      <c r="AB86" s="1101"/>
      <c r="AC86" s="1101"/>
      <c r="AD86" s="1101"/>
      <c r="AE86" s="1101"/>
      <c r="AF86" s="2670">
        <v>2026</v>
      </c>
      <c r="AG86" s="2656" t="s">
        <v>1197</v>
      </c>
      <c r="AH86" s="2656" t="s">
        <v>1198</v>
      </c>
      <c r="AI86" s="2658"/>
      <c r="AJ86" s="2656" t="s">
        <v>1199</v>
      </c>
      <c r="AK86" s="2656" t="s">
        <v>1199</v>
      </c>
      <c r="AL86" s="1902"/>
      <c r="AM86" s="1742"/>
      <c r="AN86" s="1742"/>
      <c r="AO86" s="1742"/>
      <c r="AP86" s="1742"/>
      <c r="AQ86" s="1742"/>
      <c r="AR86" s="1742"/>
      <c r="AS86" s="1742"/>
      <c r="AT86" s="1742"/>
      <c r="AU86" s="1742"/>
      <c r="AV86" s="1742"/>
      <c r="AW86" s="1742"/>
      <c r="AX86" s="1742"/>
      <c r="AY86" s="1742"/>
      <c r="AZ86" s="1742"/>
      <c r="BA86" s="1742"/>
      <c r="BB86" s="1742"/>
      <c r="BC86" s="1742"/>
      <c r="BD86" s="1742"/>
      <c r="BE86" s="1742"/>
      <c r="BF86" s="1742"/>
    </row>
    <row r="87" spans="1:58" ht="11.25" customHeight="1">
      <c r="A87" s="1089" t="s">
        <v>1161</v>
      </c>
      <c r="D87" s="1083"/>
      <c r="E87" s="1093"/>
      <c r="F87" s="2686"/>
      <c r="G87" s="2608"/>
      <c r="H87" s="2604" t="s">
        <v>395</v>
      </c>
      <c r="I87" s="2667"/>
      <c r="J87" s="2672"/>
      <c r="K87" s="2669"/>
      <c r="L87" s="2360"/>
      <c r="M87" s="2365"/>
      <c r="N87" s="2661"/>
      <c r="O87" s="2662">
        <v>1</v>
      </c>
      <c r="P87" s="2663" t="s">
        <v>19</v>
      </c>
      <c r="Q87" s="2653" t="s">
        <v>22</v>
      </c>
      <c r="R87" s="2653" t="s">
        <v>22</v>
      </c>
      <c r="S87" s="2653" t="s">
        <v>22</v>
      </c>
      <c r="T87" s="2653" t="s">
        <v>22</v>
      </c>
      <c r="U87" s="2653" t="s">
        <v>22</v>
      </c>
      <c r="V87" s="2653" t="s">
        <v>22</v>
      </c>
      <c r="W87" s="2653" t="s">
        <v>22</v>
      </c>
      <c r="X87" s="2653" t="s">
        <v>22</v>
      </c>
      <c r="Y87" s="2653"/>
      <c r="Z87" s="1098"/>
      <c r="AA87" s="1099"/>
      <c r="AB87" s="1099"/>
      <c r="AC87" s="1103"/>
      <c r="AD87" s="1103"/>
      <c r="AE87" s="1104"/>
      <c r="AF87" s="2670"/>
      <c r="AG87" s="2656"/>
      <c r="AH87" s="2656"/>
      <c r="AI87" s="2658"/>
      <c r="AJ87" s="2656"/>
      <c r="AK87" s="2656"/>
      <c r="AL87" s="1902"/>
      <c r="AM87" s="1742"/>
      <c r="AN87" s="1742"/>
      <c r="AO87" s="1742"/>
      <c r="AP87" s="1742"/>
      <c r="AQ87" s="1742"/>
      <c r="AR87" s="1742"/>
      <c r="AS87" s="1742"/>
      <c r="AT87" s="1742"/>
      <c r="AU87" s="1742"/>
      <c r="AV87" s="1742"/>
      <c r="AW87" s="1742"/>
      <c r="AX87" s="1742"/>
      <c r="AY87" s="1742"/>
      <c r="AZ87" s="1742"/>
      <c r="BA87" s="1742"/>
      <c r="BB87" s="1742"/>
      <c r="BC87" s="1742"/>
      <c r="BD87" s="1742"/>
      <c r="BE87" s="1742"/>
      <c r="BF87" s="1742"/>
    </row>
    <row r="88" spans="1:58" ht="11.25" customHeight="1">
      <c r="A88" s="1089" t="s">
        <v>1161</v>
      </c>
      <c r="D88" s="1083"/>
      <c r="E88" s="1093"/>
      <c r="F88" s="2686"/>
      <c r="G88" s="2608"/>
      <c r="H88" s="2604" t="s">
        <v>395</v>
      </c>
      <c r="I88" s="2667"/>
      <c r="J88" s="2672"/>
      <c r="K88" s="2669"/>
      <c r="L88" s="2360"/>
      <c r="M88" s="2365"/>
      <c r="N88" s="2661"/>
      <c r="O88" s="2662"/>
      <c r="P88" s="2664"/>
      <c r="Q88" s="2653"/>
      <c r="R88" s="2653"/>
      <c r="S88" s="2666"/>
      <c r="T88" s="2653"/>
      <c r="U88" s="2653"/>
      <c r="V88" s="2653"/>
      <c r="W88" s="2653"/>
      <c r="X88" s="2653"/>
      <c r="Y88" s="2653"/>
      <c r="Z88" s="1747"/>
      <c r="AA88" s="1714">
        <v>1</v>
      </c>
      <c r="AB88" s="1102" t="s">
        <v>1200</v>
      </c>
      <c r="AC88" s="1092">
        <f>54732.13766+91424</f>
        <v>146156.13766000001</v>
      </c>
      <c r="AD88" s="1102" t="str">
        <f>AB88</f>
        <v xml:space="preserve">  За счет платы за технологическое присоединение</v>
      </c>
      <c r="AE88" s="1092">
        <f>48135.49404+102100.30016</f>
        <v>150235.7942</v>
      </c>
      <c r="AF88" s="2670"/>
      <c r="AG88" s="2656"/>
      <c r="AH88" s="2656"/>
      <c r="AI88" s="2658"/>
      <c r="AJ88" s="2656"/>
      <c r="AK88" s="2656"/>
      <c r="AL88" s="1902"/>
      <c r="AM88" s="1742"/>
      <c r="AN88" s="1742"/>
      <c r="AO88" s="1742"/>
      <c r="AP88" s="1742"/>
      <c r="AQ88" s="1742"/>
      <c r="AR88" s="1742"/>
      <c r="AS88" s="1742"/>
      <c r="AT88" s="1742"/>
      <c r="AU88" s="1742"/>
      <c r="AV88" s="1742"/>
      <c r="AW88" s="1742"/>
      <c r="AX88" s="1742"/>
      <c r="AY88" s="1742"/>
      <c r="AZ88" s="1742"/>
      <c r="BA88" s="1742"/>
      <c r="BB88" s="1742"/>
      <c r="BC88" s="1742"/>
      <c r="BD88" s="1742"/>
      <c r="BE88" s="1742"/>
      <c r="BF88" s="1742"/>
    </row>
    <row r="89" spans="1:58" ht="11.25" customHeight="1">
      <c r="A89" s="1089" t="s">
        <v>1161</v>
      </c>
      <c r="D89" s="1083"/>
      <c r="E89" s="1093"/>
      <c r="F89" s="2608"/>
      <c r="G89" s="2608"/>
      <c r="H89" s="2608"/>
      <c r="I89" s="2608"/>
      <c r="J89" s="2608"/>
      <c r="K89" s="2608"/>
      <c r="L89" s="2608"/>
      <c r="M89" s="2608"/>
      <c r="N89" s="2608"/>
      <c r="O89" s="2608"/>
      <c r="P89" s="2608"/>
      <c r="Q89" s="2608"/>
      <c r="R89" s="2608"/>
      <c r="S89" s="2608"/>
      <c r="T89" s="2608"/>
      <c r="U89" s="2608"/>
      <c r="V89" s="2608"/>
      <c r="W89" s="2608"/>
      <c r="X89" s="2608"/>
      <c r="Y89" s="2608"/>
      <c r="Z89" s="619" t="s">
        <v>104</v>
      </c>
      <c r="AA89" s="1734" t="s">
        <v>103</v>
      </c>
      <c r="AB89" s="1102" t="s">
        <v>1201</v>
      </c>
      <c r="AC89" s="1092">
        <v>92154.02923</v>
      </c>
      <c r="AD89" s="1102" t="str">
        <f>AB89</f>
        <v xml:space="preserve">  Прибыль направляемая на инвестиции</v>
      </c>
      <c r="AE89" s="1092">
        <f>79947.65657</f>
        <v>79947.656570000006</v>
      </c>
      <c r="AF89" s="2671"/>
      <c r="AG89" s="2657"/>
      <c r="AH89" s="2657"/>
      <c r="AI89" s="2659"/>
      <c r="AJ89" s="2657"/>
      <c r="AK89" s="2660"/>
      <c r="AL89" s="1902"/>
      <c r="AM89" s="1742"/>
      <c r="AN89" s="1742"/>
      <c r="AO89" s="1742"/>
      <c r="AP89" s="1742"/>
      <c r="AQ89" s="1742"/>
      <c r="AR89" s="1742"/>
      <c r="AS89" s="1742"/>
      <c r="AT89" s="1742"/>
      <c r="AU89" s="1742"/>
      <c r="AV89" s="1742"/>
      <c r="AW89" s="1742"/>
      <c r="AX89" s="1742"/>
      <c r="AY89" s="1742"/>
      <c r="AZ89" s="1742"/>
      <c r="BA89" s="1742"/>
      <c r="BB89" s="1742"/>
      <c r="BC89" s="1742"/>
      <c r="BD89" s="1742"/>
      <c r="BE89" s="1742"/>
      <c r="BF89" s="1742"/>
    </row>
    <row r="90" spans="1:58" ht="11.25" customHeight="1">
      <c r="A90" s="1089" t="s">
        <v>1161</v>
      </c>
      <c r="D90" s="1083"/>
      <c r="E90" s="1093"/>
      <c r="F90" s="2686"/>
      <c r="G90" s="2608"/>
      <c r="H90" s="2604" t="s">
        <v>395</v>
      </c>
      <c r="I90" s="2667"/>
      <c r="J90" s="2672"/>
      <c r="K90" s="2669"/>
      <c r="L90" s="2360"/>
      <c r="M90" s="2365"/>
      <c r="N90" s="2661"/>
      <c r="O90" s="2662"/>
      <c r="P90" s="2665"/>
      <c r="Q90" s="2653"/>
      <c r="R90" s="2653"/>
      <c r="S90" s="2666"/>
      <c r="T90" s="2653"/>
      <c r="U90" s="2653"/>
      <c r="V90" s="2653"/>
      <c r="W90" s="2653"/>
      <c r="X90" s="2653"/>
      <c r="Y90" s="2653"/>
      <c r="Z90" s="1098"/>
      <c r="AA90" s="1099"/>
      <c r="AB90" s="1164" t="s">
        <v>1202</v>
      </c>
      <c r="AC90" s="1103"/>
      <c r="AD90" s="1103"/>
      <c r="AE90" s="1105"/>
      <c r="AF90" s="2670"/>
      <c r="AG90" s="2656"/>
      <c r="AH90" s="2656"/>
      <c r="AI90" s="2658"/>
      <c r="AJ90" s="2656"/>
      <c r="AK90" s="2656"/>
      <c r="AL90" s="1902"/>
      <c r="AM90" s="1742"/>
      <c r="AN90" s="1742"/>
      <c r="AO90" s="1742"/>
      <c r="AP90" s="1742"/>
      <c r="AQ90" s="1742"/>
      <c r="AR90" s="1742"/>
      <c r="AS90" s="1742"/>
      <c r="AT90" s="1742"/>
      <c r="AU90" s="1742"/>
      <c r="AV90" s="1742"/>
      <c r="AW90" s="1742"/>
      <c r="AX90" s="1742"/>
      <c r="AY90" s="1742"/>
      <c r="AZ90" s="1742"/>
      <c r="BA90" s="1742"/>
      <c r="BB90" s="1742"/>
      <c r="BC90" s="1742"/>
      <c r="BD90" s="1742"/>
      <c r="BE90" s="1742"/>
      <c r="BF90" s="1742"/>
    </row>
    <row r="91" spans="1:58" ht="11.25" customHeight="1">
      <c r="A91" s="1089" t="s">
        <v>1161</v>
      </c>
      <c r="D91" s="1083"/>
      <c r="E91" s="1093"/>
      <c r="F91" s="2686"/>
      <c r="G91" s="2608"/>
      <c r="H91" s="2604" t="s">
        <v>395</v>
      </c>
      <c r="I91" s="2667"/>
      <c r="J91" s="2672"/>
      <c r="K91" s="2669"/>
      <c r="L91" s="2360"/>
      <c r="M91" s="2365"/>
      <c r="N91" s="1098"/>
      <c r="O91" s="1099"/>
      <c r="P91" s="1091" t="s">
        <v>1203</v>
      </c>
      <c r="Q91" s="1099"/>
      <c r="R91" s="1099"/>
      <c r="S91" s="1099"/>
      <c r="T91" s="1099"/>
      <c r="U91" s="1099"/>
      <c r="V91" s="1099"/>
      <c r="W91" s="1099"/>
      <c r="X91" s="1099"/>
      <c r="Y91" s="1099"/>
      <c r="Z91" s="1099"/>
      <c r="AA91" s="1099"/>
      <c r="AB91" s="1099"/>
      <c r="AC91" s="1099"/>
      <c r="AD91" s="1099"/>
      <c r="AE91" s="1106"/>
      <c r="AF91" s="2670"/>
      <c r="AG91" s="2656"/>
      <c r="AH91" s="2656"/>
      <c r="AI91" s="2658"/>
      <c r="AJ91" s="2656"/>
      <c r="AK91" s="2656"/>
      <c r="AL91" s="1902"/>
      <c r="AM91" s="1742"/>
      <c r="AN91" s="1742"/>
      <c r="AO91" s="1742"/>
      <c r="AP91" s="1742"/>
      <c r="AQ91" s="1742"/>
      <c r="AR91" s="1742"/>
      <c r="AS91" s="1742"/>
      <c r="AT91" s="1742"/>
      <c r="AU91" s="1742"/>
      <c r="AV91" s="1742"/>
      <c r="AW91" s="1742"/>
      <c r="AX91" s="1742"/>
      <c r="AY91" s="1742"/>
      <c r="AZ91" s="1742"/>
      <c r="BA91" s="1742"/>
      <c r="BB91" s="1742"/>
      <c r="BC91" s="1742"/>
      <c r="BD91" s="1742"/>
      <c r="BE91" s="1742"/>
      <c r="BF91" s="1742"/>
    </row>
    <row r="92" spans="1:58" ht="11.25" customHeight="1">
      <c r="A92" s="1089" t="s">
        <v>1161</v>
      </c>
      <c r="B92" s="1089" t="s">
        <v>1194</v>
      </c>
      <c r="D92" s="1083"/>
      <c r="E92" s="1093"/>
      <c r="F92" s="2686"/>
      <c r="G92" s="2362" t="s">
        <v>104</v>
      </c>
      <c r="H92" s="2604" t="s">
        <v>103</v>
      </c>
      <c r="I92" s="2667" t="s">
        <v>1195</v>
      </c>
      <c r="J92" s="2672" t="s">
        <v>1204</v>
      </c>
      <c r="K92" s="2669"/>
      <c r="L92" s="2360" t="s">
        <v>19</v>
      </c>
      <c r="M92" s="2365"/>
      <c r="N92" s="1900"/>
      <c r="O92" s="1100" t="s">
        <v>395</v>
      </c>
      <c r="P92" s="1101"/>
      <c r="Q92" s="1101"/>
      <c r="R92" s="1101"/>
      <c r="S92" s="1101"/>
      <c r="T92" s="1101"/>
      <c r="U92" s="1101"/>
      <c r="V92" s="1101"/>
      <c r="W92" s="1101"/>
      <c r="X92" s="1101"/>
      <c r="Y92" s="1101"/>
      <c r="Z92" s="1101"/>
      <c r="AA92" s="1101"/>
      <c r="AB92" s="1101"/>
      <c r="AC92" s="1101"/>
      <c r="AD92" s="1101"/>
      <c r="AE92" s="1101"/>
      <c r="AF92" s="2670">
        <v>2028</v>
      </c>
      <c r="AG92" s="2656" t="s">
        <v>1197</v>
      </c>
      <c r="AH92" s="2656" t="s">
        <v>1205</v>
      </c>
      <c r="AI92" s="2658"/>
      <c r="AJ92" s="2656" t="s">
        <v>1199</v>
      </c>
      <c r="AK92" s="2656" t="s">
        <v>1199</v>
      </c>
      <c r="AL92" s="1902"/>
      <c r="AM92" s="1742"/>
      <c r="AN92" s="1742"/>
      <c r="AO92" s="1742"/>
      <c r="AP92" s="1742"/>
      <c r="AQ92" s="1742"/>
      <c r="AR92" s="1742"/>
      <c r="AS92" s="1742"/>
      <c r="AT92" s="1742"/>
      <c r="AU92" s="1742"/>
      <c r="AV92" s="1742"/>
      <c r="AW92" s="1742"/>
      <c r="AX92" s="1742"/>
      <c r="AY92" s="1742"/>
      <c r="AZ92" s="1742"/>
      <c r="BA92" s="1742"/>
      <c r="BB92" s="1742"/>
      <c r="BC92" s="1742"/>
      <c r="BD92" s="1742"/>
      <c r="BE92" s="1742"/>
      <c r="BF92" s="1742"/>
    </row>
    <row r="93" spans="1:58" ht="11.25" customHeight="1">
      <c r="A93" s="1089" t="s">
        <v>1161</v>
      </c>
      <c r="D93" s="1083"/>
      <c r="E93" s="1093"/>
      <c r="F93" s="2686"/>
      <c r="G93" s="2608"/>
      <c r="H93" s="2604" t="s">
        <v>100</v>
      </c>
      <c r="I93" s="2667"/>
      <c r="J93" s="2672"/>
      <c r="K93" s="2669"/>
      <c r="L93" s="2360"/>
      <c r="M93" s="2365"/>
      <c r="N93" s="2661"/>
      <c r="O93" s="2662">
        <v>1</v>
      </c>
      <c r="P93" s="2663" t="s">
        <v>19</v>
      </c>
      <c r="Q93" s="2653" t="s">
        <v>22</v>
      </c>
      <c r="R93" s="2653" t="s">
        <v>22</v>
      </c>
      <c r="S93" s="2653" t="s">
        <v>22</v>
      </c>
      <c r="T93" s="2653" t="s">
        <v>22</v>
      </c>
      <c r="U93" s="2653" t="s">
        <v>22</v>
      </c>
      <c r="V93" s="2653" t="s">
        <v>22</v>
      </c>
      <c r="W93" s="2653" t="s">
        <v>22</v>
      </c>
      <c r="X93" s="2653" t="s">
        <v>22</v>
      </c>
      <c r="Y93" s="2653"/>
      <c r="Z93" s="1098"/>
      <c r="AA93" s="1099"/>
      <c r="AB93" s="1099"/>
      <c r="AC93" s="1103"/>
      <c r="AD93" s="1103"/>
      <c r="AE93" s="1104"/>
      <c r="AF93" s="2670"/>
      <c r="AG93" s="2656"/>
      <c r="AH93" s="2656"/>
      <c r="AI93" s="2658"/>
      <c r="AJ93" s="2656"/>
      <c r="AK93" s="2656"/>
      <c r="AL93" s="1902"/>
      <c r="AM93" s="1742"/>
      <c r="AN93" s="1742"/>
      <c r="AO93" s="1742"/>
      <c r="AP93" s="1742"/>
      <c r="AQ93" s="1742"/>
      <c r="AR93" s="1742"/>
      <c r="AS93" s="1742"/>
      <c r="AT93" s="1742"/>
      <c r="AU93" s="1742"/>
      <c r="AV93" s="1742"/>
      <c r="AW93" s="1742"/>
      <c r="AX93" s="1742"/>
      <c r="AY93" s="1742"/>
      <c r="AZ93" s="1742"/>
      <c r="BA93" s="1742"/>
      <c r="BB93" s="1742"/>
      <c r="BC93" s="1742"/>
      <c r="BD93" s="1742"/>
      <c r="BE93" s="1742"/>
      <c r="BF93" s="1742"/>
    </row>
    <row r="94" spans="1:58" ht="11.25" customHeight="1">
      <c r="A94" s="1089" t="s">
        <v>1161</v>
      </c>
      <c r="D94" s="1083"/>
      <c r="E94" s="1093"/>
      <c r="F94" s="2686"/>
      <c r="G94" s="2608"/>
      <c r="H94" s="2604" t="s">
        <v>100</v>
      </c>
      <c r="I94" s="2667"/>
      <c r="J94" s="2672"/>
      <c r="K94" s="2669"/>
      <c r="L94" s="2360"/>
      <c r="M94" s="2365"/>
      <c r="N94" s="2661"/>
      <c r="O94" s="2662"/>
      <c r="P94" s="2664"/>
      <c r="Q94" s="2653"/>
      <c r="R94" s="2653"/>
      <c r="S94" s="2666"/>
      <c r="T94" s="2653"/>
      <c r="U94" s="2653"/>
      <c r="V94" s="2653"/>
      <c r="W94" s="2653"/>
      <c r="X94" s="2653"/>
      <c r="Y94" s="2653"/>
      <c r="Z94" s="1747"/>
      <c r="AA94" s="1714">
        <v>1</v>
      </c>
      <c r="AB94" s="1102" t="s">
        <v>1206</v>
      </c>
      <c r="AC94" s="1092">
        <v>4313.9076500000001</v>
      </c>
      <c r="AD94" s="1102" t="str">
        <f>AB94</f>
        <v xml:space="preserve">      Прочие амортизационные отчисления</v>
      </c>
      <c r="AE94" s="1092">
        <v>3612.9144200000001</v>
      </c>
      <c r="AF94" s="2670"/>
      <c r="AG94" s="2656"/>
      <c r="AH94" s="2656"/>
      <c r="AI94" s="2658"/>
      <c r="AJ94" s="2656"/>
      <c r="AK94" s="2656"/>
      <c r="AL94" s="1902"/>
      <c r="AM94" s="1742"/>
      <c r="AN94" s="1742"/>
      <c r="AO94" s="1742"/>
      <c r="AP94" s="1742"/>
      <c r="AQ94" s="1742"/>
      <c r="AR94" s="1742"/>
      <c r="AS94" s="1742"/>
      <c r="AT94" s="1742"/>
      <c r="AU94" s="1742"/>
      <c r="AV94" s="1742"/>
      <c r="AW94" s="1742"/>
      <c r="AX94" s="1742"/>
      <c r="AY94" s="1742"/>
      <c r="AZ94" s="1742"/>
      <c r="BA94" s="1742"/>
      <c r="BB94" s="1742"/>
      <c r="BC94" s="1742"/>
      <c r="BD94" s="1742"/>
      <c r="BE94" s="1742"/>
      <c r="BF94" s="1742"/>
    </row>
    <row r="95" spans="1:58" ht="11.25" customHeight="1">
      <c r="A95" s="1089" t="s">
        <v>1161</v>
      </c>
      <c r="D95" s="1083"/>
      <c r="E95" s="1093"/>
      <c r="F95" s="2608"/>
      <c r="G95" s="2608"/>
      <c r="H95" s="2608"/>
      <c r="I95" s="2608"/>
      <c r="J95" s="2608"/>
      <c r="K95" s="2608"/>
      <c r="L95" s="2608"/>
      <c r="M95" s="2608"/>
      <c r="N95" s="2608"/>
      <c r="O95" s="2608"/>
      <c r="P95" s="2608"/>
      <c r="Q95" s="2608"/>
      <c r="R95" s="2608"/>
      <c r="S95" s="2608"/>
      <c r="T95" s="2608"/>
      <c r="U95" s="2608"/>
      <c r="V95" s="2608"/>
      <c r="W95" s="2608"/>
      <c r="X95" s="2608"/>
      <c r="Y95" s="2608"/>
      <c r="Z95" s="619" t="s">
        <v>104</v>
      </c>
      <c r="AA95" s="1734" t="s">
        <v>103</v>
      </c>
      <c r="AB95" s="1102" t="s">
        <v>1201</v>
      </c>
      <c r="AC95" s="1092">
        <v>1935.4965400000001</v>
      </c>
      <c r="AD95" s="1102" t="str">
        <f>AB95</f>
        <v xml:space="preserve">  Прибыль направляемая на инвестиции</v>
      </c>
      <c r="AE95" s="1092">
        <v>1935.4965400000001</v>
      </c>
      <c r="AF95" s="2671"/>
      <c r="AG95" s="2657"/>
      <c r="AH95" s="2657"/>
      <c r="AI95" s="2659"/>
      <c r="AJ95" s="2657"/>
      <c r="AK95" s="2660"/>
      <c r="AL95" s="1902"/>
      <c r="AM95" s="1742"/>
      <c r="AN95" s="1742"/>
      <c r="AO95" s="1742"/>
      <c r="AP95" s="1742"/>
      <c r="AQ95" s="1742"/>
      <c r="AR95" s="1742"/>
      <c r="AS95" s="1742"/>
      <c r="AT95" s="1742"/>
      <c r="AU95" s="1742"/>
      <c r="AV95" s="1742"/>
      <c r="AW95" s="1742"/>
      <c r="AX95" s="1742"/>
      <c r="AY95" s="1742"/>
      <c r="AZ95" s="1742"/>
      <c r="BA95" s="1742"/>
      <c r="BB95" s="1742"/>
      <c r="BC95" s="1742"/>
      <c r="BD95" s="1742"/>
      <c r="BE95" s="1742"/>
      <c r="BF95" s="1742"/>
    </row>
    <row r="96" spans="1:58" ht="11.25" customHeight="1">
      <c r="A96" s="1089" t="s">
        <v>1161</v>
      </c>
      <c r="D96" s="1083"/>
      <c r="E96" s="1093"/>
      <c r="F96" s="2608"/>
      <c r="G96" s="2608"/>
      <c r="H96" s="2608"/>
      <c r="I96" s="2608"/>
      <c r="J96" s="2608"/>
      <c r="K96" s="2608"/>
      <c r="L96" s="2608"/>
      <c r="M96" s="2608"/>
      <c r="N96" s="2608"/>
      <c r="O96" s="2608"/>
      <c r="P96" s="2608"/>
      <c r="Q96" s="2608"/>
      <c r="R96" s="2608"/>
      <c r="S96" s="2608"/>
      <c r="T96" s="2608"/>
      <c r="U96" s="2608"/>
      <c r="V96" s="2608"/>
      <c r="W96" s="2608"/>
      <c r="X96" s="2608"/>
      <c r="Y96" s="2608"/>
      <c r="Z96" s="619" t="s">
        <v>104</v>
      </c>
      <c r="AA96" s="1734" t="s">
        <v>91</v>
      </c>
      <c r="AB96" s="1102" t="s">
        <v>1200</v>
      </c>
      <c r="AC96" s="1092">
        <v>14325.525799999999</v>
      </c>
      <c r="AD96" s="1102" t="str">
        <f>AB96</f>
        <v xml:space="preserve">  За счет платы за технологическое присоединение</v>
      </c>
      <c r="AE96" s="1092">
        <v>11450.67355</v>
      </c>
      <c r="AF96" s="2671"/>
      <c r="AG96" s="2657"/>
      <c r="AH96" s="2657"/>
      <c r="AI96" s="2659"/>
      <c r="AJ96" s="2657"/>
      <c r="AK96" s="2660"/>
      <c r="AL96" s="1902"/>
      <c r="AM96" s="1742"/>
      <c r="AN96" s="1742"/>
      <c r="AO96" s="1742"/>
      <c r="AP96" s="1742"/>
      <c r="AQ96" s="1742"/>
      <c r="AR96" s="1742"/>
      <c r="AS96" s="1742"/>
      <c r="AT96" s="1742"/>
      <c r="AU96" s="1742"/>
      <c r="AV96" s="1742"/>
      <c r="AW96" s="1742"/>
      <c r="AX96" s="1742"/>
      <c r="AY96" s="1742"/>
      <c r="AZ96" s="1742"/>
      <c r="BA96" s="1742"/>
      <c r="BB96" s="1742"/>
      <c r="BC96" s="1742"/>
      <c r="BD96" s="1742"/>
      <c r="BE96" s="1742"/>
      <c r="BF96" s="1742"/>
    </row>
    <row r="97" spans="1:58" ht="11.25" customHeight="1">
      <c r="A97" s="1089" t="s">
        <v>1161</v>
      </c>
      <c r="D97" s="1083"/>
      <c r="E97" s="1093"/>
      <c r="F97" s="2686"/>
      <c r="G97" s="2608"/>
      <c r="H97" s="2604" t="s">
        <v>100</v>
      </c>
      <c r="I97" s="2667"/>
      <c r="J97" s="2672"/>
      <c r="K97" s="2669"/>
      <c r="L97" s="2360"/>
      <c r="M97" s="2365"/>
      <c r="N97" s="2661"/>
      <c r="O97" s="2662"/>
      <c r="P97" s="2665"/>
      <c r="Q97" s="2653"/>
      <c r="R97" s="2653"/>
      <c r="S97" s="2666"/>
      <c r="T97" s="2653"/>
      <c r="U97" s="2653"/>
      <c r="V97" s="2653"/>
      <c r="W97" s="2653"/>
      <c r="X97" s="2653"/>
      <c r="Y97" s="2653"/>
      <c r="Z97" s="1098"/>
      <c r="AA97" s="1099"/>
      <c r="AB97" s="1164" t="s">
        <v>1202</v>
      </c>
      <c r="AC97" s="1103"/>
      <c r="AD97" s="1103"/>
      <c r="AE97" s="1105"/>
      <c r="AF97" s="2670"/>
      <c r="AG97" s="2656"/>
      <c r="AH97" s="2656"/>
      <c r="AI97" s="2658"/>
      <c r="AJ97" s="2656"/>
      <c r="AK97" s="2656"/>
      <c r="AL97" s="1902"/>
      <c r="AM97" s="1742"/>
      <c r="AN97" s="1742"/>
      <c r="AO97" s="1742"/>
      <c r="AP97" s="1742"/>
      <c r="AQ97" s="1742"/>
      <c r="AR97" s="1742"/>
      <c r="AS97" s="1742"/>
      <c r="AT97" s="1742"/>
      <c r="AU97" s="1742"/>
      <c r="AV97" s="1742"/>
      <c r="AW97" s="1742"/>
      <c r="AX97" s="1742"/>
      <c r="AY97" s="1742"/>
      <c r="AZ97" s="1742"/>
      <c r="BA97" s="1742"/>
      <c r="BB97" s="1742"/>
      <c r="BC97" s="1742"/>
      <c r="BD97" s="1742"/>
      <c r="BE97" s="1742"/>
      <c r="BF97" s="1742"/>
    </row>
    <row r="98" spans="1:58" ht="11.25" customHeight="1">
      <c r="A98" s="1089" t="s">
        <v>1161</v>
      </c>
      <c r="D98" s="1083"/>
      <c r="E98" s="1093"/>
      <c r="F98" s="2686"/>
      <c r="G98" s="2608"/>
      <c r="H98" s="2604" t="s">
        <v>100</v>
      </c>
      <c r="I98" s="2667"/>
      <c r="J98" s="2672"/>
      <c r="K98" s="2669"/>
      <c r="L98" s="2360"/>
      <c r="M98" s="2365"/>
      <c r="N98" s="1098"/>
      <c r="O98" s="1099"/>
      <c r="P98" s="1091" t="s">
        <v>1203</v>
      </c>
      <c r="Q98" s="1099"/>
      <c r="R98" s="1099"/>
      <c r="S98" s="1099"/>
      <c r="T98" s="1099"/>
      <c r="U98" s="1099"/>
      <c r="V98" s="1099"/>
      <c r="W98" s="1099"/>
      <c r="X98" s="1099"/>
      <c r="Y98" s="1099"/>
      <c r="Z98" s="1099"/>
      <c r="AA98" s="1099"/>
      <c r="AB98" s="1099"/>
      <c r="AC98" s="1099"/>
      <c r="AD98" s="1099"/>
      <c r="AE98" s="1106"/>
      <c r="AF98" s="2670"/>
      <c r="AG98" s="2656"/>
      <c r="AH98" s="2656"/>
      <c r="AI98" s="2658"/>
      <c r="AJ98" s="2656"/>
      <c r="AK98" s="2656"/>
      <c r="AL98" s="1902"/>
      <c r="AM98" s="1742"/>
      <c r="AN98" s="1742"/>
      <c r="AO98" s="1742"/>
      <c r="AP98" s="1742"/>
      <c r="AQ98" s="1742"/>
      <c r="AR98" s="1742"/>
      <c r="AS98" s="1742"/>
      <c r="AT98" s="1742"/>
      <c r="AU98" s="1742"/>
      <c r="AV98" s="1742"/>
      <c r="AW98" s="1742"/>
      <c r="AX98" s="1742"/>
      <c r="AY98" s="1742"/>
      <c r="AZ98" s="1742"/>
      <c r="BA98" s="1742"/>
      <c r="BB98" s="1742"/>
      <c r="BC98" s="1742"/>
      <c r="BD98" s="1742"/>
      <c r="BE98" s="1742"/>
      <c r="BF98" s="1742"/>
    </row>
    <row r="99" spans="1:58" ht="11.25" customHeight="1">
      <c r="A99" s="1089" t="s">
        <v>1161</v>
      </c>
      <c r="B99" s="1089" t="s">
        <v>22</v>
      </c>
      <c r="D99" s="1083"/>
      <c r="E99" s="1093"/>
      <c r="F99" s="2686"/>
      <c r="G99" s="2362" t="s">
        <v>104</v>
      </c>
      <c r="H99" s="2604" t="s">
        <v>91</v>
      </c>
      <c r="I99" s="2667" t="s">
        <v>1207</v>
      </c>
      <c r="J99" s="2668" t="s">
        <v>22</v>
      </c>
      <c r="K99" s="2669"/>
      <c r="L99" s="2360" t="s">
        <v>19</v>
      </c>
      <c r="M99" s="2365"/>
      <c r="N99" s="1900"/>
      <c r="O99" s="1100" t="s">
        <v>395</v>
      </c>
      <c r="P99" s="1101"/>
      <c r="Q99" s="1101"/>
      <c r="R99" s="1101"/>
      <c r="S99" s="1101"/>
      <c r="T99" s="1101"/>
      <c r="U99" s="1101"/>
      <c r="V99" s="1101"/>
      <c r="W99" s="1101"/>
      <c r="X99" s="1101"/>
      <c r="Y99" s="1101"/>
      <c r="Z99" s="1101"/>
      <c r="AA99" s="1101"/>
      <c r="AB99" s="1101"/>
      <c r="AC99" s="1101"/>
      <c r="AD99" s="1101"/>
      <c r="AE99" s="1101"/>
      <c r="AF99" s="2670">
        <v>2026</v>
      </c>
      <c r="AG99" s="2656" t="s">
        <v>1208</v>
      </c>
      <c r="AH99" s="2656" t="s">
        <v>1198</v>
      </c>
      <c r="AI99" s="2658"/>
      <c r="AJ99" s="2656" t="s">
        <v>1199</v>
      </c>
      <c r="AK99" s="2656" t="s">
        <v>1199</v>
      </c>
      <c r="AL99" s="1902"/>
      <c r="AM99" s="1742"/>
      <c r="AN99" s="1742"/>
      <c r="AO99" s="1742"/>
      <c r="AP99" s="1742"/>
      <c r="AQ99" s="1742"/>
      <c r="AR99" s="1742"/>
      <c r="AS99" s="1742"/>
      <c r="AT99" s="1742"/>
      <c r="AU99" s="1742"/>
      <c r="AV99" s="1742"/>
      <c r="AW99" s="1742"/>
      <c r="AX99" s="1742"/>
      <c r="AY99" s="1742"/>
      <c r="AZ99" s="1742"/>
      <c r="BA99" s="1742"/>
      <c r="BB99" s="1742"/>
      <c r="BC99" s="1742"/>
      <c r="BD99" s="1742"/>
      <c r="BE99" s="1742"/>
      <c r="BF99" s="1742"/>
    </row>
    <row r="100" spans="1:58" ht="11.25" customHeight="1">
      <c r="A100" s="1089" t="s">
        <v>1161</v>
      </c>
      <c r="D100" s="1083"/>
      <c r="E100" s="1093"/>
      <c r="F100" s="2686"/>
      <c r="G100" s="2608"/>
      <c r="H100" s="2604" t="s">
        <v>103</v>
      </c>
      <c r="I100" s="2667"/>
      <c r="J100" s="2668"/>
      <c r="K100" s="2669"/>
      <c r="L100" s="2360"/>
      <c r="M100" s="2365"/>
      <c r="N100" s="2661"/>
      <c r="O100" s="2662">
        <v>1</v>
      </c>
      <c r="P100" s="2663" t="s">
        <v>19</v>
      </c>
      <c r="Q100" s="2653" t="s">
        <v>22</v>
      </c>
      <c r="R100" s="2653" t="s">
        <v>22</v>
      </c>
      <c r="S100" s="2653" t="s">
        <v>22</v>
      </c>
      <c r="T100" s="2653" t="s">
        <v>22</v>
      </c>
      <c r="U100" s="2653" t="s">
        <v>22</v>
      </c>
      <c r="V100" s="2653" t="s">
        <v>22</v>
      </c>
      <c r="W100" s="2653" t="s">
        <v>22</v>
      </c>
      <c r="X100" s="2653" t="s">
        <v>22</v>
      </c>
      <c r="Y100" s="2653"/>
      <c r="Z100" s="1098"/>
      <c r="AA100" s="1099"/>
      <c r="AB100" s="1099"/>
      <c r="AC100" s="1103"/>
      <c r="AD100" s="1103"/>
      <c r="AE100" s="1104"/>
      <c r="AF100" s="2670"/>
      <c r="AG100" s="2656"/>
      <c r="AH100" s="2656"/>
      <c r="AI100" s="2658"/>
      <c r="AJ100" s="2656"/>
      <c r="AK100" s="2656"/>
      <c r="AL100" s="1902"/>
      <c r="AM100" s="1742"/>
      <c r="AN100" s="1742"/>
      <c r="AO100" s="1742"/>
      <c r="AP100" s="1742"/>
      <c r="AQ100" s="1742"/>
      <c r="AR100" s="1742"/>
      <c r="AS100" s="1742"/>
      <c r="AT100" s="1742"/>
      <c r="AU100" s="1742"/>
      <c r="AV100" s="1742"/>
      <c r="AW100" s="1742"/>
      <c r="AX100" s="1742"/>
      <c r="AY100" s="1742"/>
      <c r="AZ100" s="1742"/>
      <c r="BA100" s="1742"/>
      <c r="BB100" s="1742"/>
      <c r="BC100" s="1742"/>
      <c r="BD100" s="1742"/>
      <c r="BE100" s="1742"/>
      <c r="BF100" s="1742"/>
    </row>
    <row r="101" spans="1:58" ht="11.25" customHeight="1">
      <c r="A101" s="1089" t="s">
        <v>1161</v>
      </c>
      <c r="D101" s="1083"/>
      <c r="E101" s="1093"/>
      <c r="F101" s="2686"/>
      <c r="G101" s="2608"/>
      <c r="H101" s="2604" t="s">
        <v>103</v>
      </c>
      <c r="I101" s="2667"/>
      <c r="J101" s="2668"/>
      <c r="K101" s="2669"/>
      <c r="L101" s="2360"/>
      <c r="M101" s="2365"/>
      <c r="N101" s="2661"/>
      <c r="O101" s="2662"/>
      <c r="P101" s="2664"/>
      <c r="Q101" s="2653"/>
      <c r="R101" s="2653"/>
      <c r="S101" s="2666"/>
      <c r="T101" s="2653"/>
      <c r="U101" s="2653"/>
      <c r="V101" s="2653"/>
      <c r="W101" s="2653"/>
      <c r="X101" s="2653"/>
      <c r="Y101" s="2653"/>
      <c r="Z101" s="1747"/>
      <c r="AA101" s="1714">
        <v>1</v>
      </c>
      <c r="AB101" s="1102" t="s">
        <v>1206</v>
      </c>
      <c r="AC101" s="1092">
        <v>896.75252</v>
      </c>
      <c r="AD101" s="1102" t="str">
        <f>AB101</f>
        <v xml:space="preserve">      Прочие амортизационные отчисления</v>
      </c>
      <c r="AE101" s="1092">
        <v>869.84455000000003</v>
      </c>
      <c r="AF101" s="2670"/>
      <c r="AG101" s="2656"/>
      <c r="AH101" s="2656"/>
      <c r="AI101" s="2658"/>
      <c r="AJ101" s="2656"/>
      <c r="AK101" s="2656"/>
      <c r="AL101" s="1902"/>
      <c r="AM101" s="1742"/>
      <c r="AN101" s="1742"/>
      <c r="AO101" s="1742"/>
      <c r="AP101" s="1742"/>
      <c r="AQ101" s="1742"/>
      <c r="AR101" s="1742"/>
      <c r="AS101" s="1742"/>
      <c r="AT101" s="1742"/>
      <c r="AU101" s="1742"/>
      <c r="AV101" s="1742"/>
      <c r="AW101" s="1742"/>
      <c r="AX101" s="1742"/>
      <c r="AY101" s="1742"/>
      <c r="AZ101" s="1742"/>
      <c r="BA101" s="1742"/>
      <c r="BB101" s="1742"/>
      <c r="BC101" s="1742"/>
      <c r="BD101" s="1742"/>
      <c r="BE101" s="1742"/>
      <c r="BF101" s="1742"/>
    </row>
    <row r="102" spans="1:58" ht="11.25" customHeight="1">
      <c r="A102" s="1089" t="s">
        <v>1161</v>
      </c>
      <c r="D102" s="1083"/>
      <c r="E102" s="1093"/>
      <c r="F102" s="2686"/>
      <c r="G102" s="2608"/>
      <c r="H102" s="2604" t="s">
        <v>103</v>
      </c>
      <c r="I102" s="2667"/>
      <c r="J102" s="2668"/>
      <c r="K102" s="2669"/>
      <c r="L102" s="2360"/>
      <c r="M102" s="2365"/>
      <c r="N102" s="2661"/>
      <c r="O102" s="2662"/>
      <c r="P102" s="2665"/>
      <c r="Q102" s="2653"/>
      <c r="R102" s="2653"/>
      <c r="S102" s="2666"/>
      <c r="T102" s="2653"/>
      <c r="U102" s="2653"/>
      <c r="V102" s="2653"/>
      <c r="W102" s="2653"/>
      <c r="X102" s="2653"/>
      <c r="Y102" s="2653"/>
      <c r="Z102" s="1098"/>
      <c r="AA102" s="1099"/>
      <c r="AB102" s="1164" t="s">
        <v>1202</v>
      </c>
      <c r="AC102" s="1103"/>
      <c r="AD102" s="1103"/>
      <c r="AE102" s="1105"/>
      <c r="AF102" s="2670"/>
      <c r="AG102" s="2656"/>
      <c r="AH102" s="2656"/>
      <c r="AI102" s="2658"/>
      <c r="AJ102" s="2656"/>
      <c r="AK102" s="2656"/>
      <c r="AL102" s="1902"/>
      <c r="AM102" s="1742"/>
      <c r="AN102" s="1742"/>
      <c r="AO102" s="1742"/>
      <c r="AP102" s="1742"/>
      <c r="AQ102" s="1742"/>
      <c r="AR102" s="1742"/>
      <c r="AS102" s="1742"/>
      <c r="AT102" s="1742"/>
      <c r="AU102" s="1742"/>
      <c r="AV102" s="1742"/>
      <c r="AW102" s="1742"/>
      <c r="AX102" s="1742"/>
      <c r="AY102" s="1742"/>
      <c r="AZ102" s="1742"/>
      <c r="BA102" s="1742"/>
      <c r="BB102" s="1742"/>
      <c r="BC102" s="1742"/>
      <c r="BD102" s="1742"/>
      <c r="BE102" s="1742"/>
      <c r="BF102" s="1742"/>
    </row>
    <row r="103" spans="1:58" ht="11.25" customHeight="1">
      <c r="A103" s="1089" t="s">
        <v>1161</v>
      </c>
      <c r="D103" s="1083"/>
      <c r="E103" s="1093"/>
      <c r="F103" s="2686"/>
      <c r="G103" s="2608"/>
      <c r="H103" s="2604" t="s">
        <v>103</v>
      </c>
      <c r="I103" s="2667"/>
      <c r="J103" s="2668"/>
      <c r="K103" s="2669"/>
      <c r="L103" s="2360"/>
      <c r="M103" s="2365"/>
      <c r="N103" s="1098"/>
      <c r="O103" s="1099"/>
      <c r="P103" s="1091" t="s">
        <v>1203</v>
      </c>
      <c r="Q103" s="1099"/>
      <c r="R103" s="1099"/>
      <c r="S103" s="1099"/>
      <c r="T103" s="1099"/>
      <c r="U103" s="1099"/>
      <c r="V103" s="1099"/>
      <c r="W103" s="1099"/>
      <c r="X103" s="1099"/>
      <c r="Y103" s="1099"/>
      <c r="Z103" s="1099"/>
      <c r="AA103" s="1099"/>
      <c r="AB103" s="1099"/>
      <c r="AC103" s="1099"/>
      <c r="AD103" s="1099"/>
      <c r="AE103" s="1106"/>
      <c r="AF103" s="2670"/>
      <c r="AG103" s="2656"/>
      <c r="AH103" s="2656"/>
      <c r="AI103" s="2658"/>
      <c r="AJ103" s="2656"/>
      <c r="AK103" s="2656"/>
      <c r="AL103" s="1902"/>
      <c r="AM103" s="1742"/>
      <c r="AN103" s="1742"/>
      <c r="AO103" s="1742"/>
      <c r="AP103" s="1742"/>
      <c r="AQ103" s="1742"/>
      <c r="AR103" s="1742"/>
      <c r="AS103" s="1742"/>
      <c r="AT103" s="1742"/>
      <c r="AU103" s="1742"/>
      <c r="AV103" s="1742"/>
      <c r="AW103" s="1742"/>
      <c r="AX103" s="1742"/>
      <c r="AY103" s="1742"/>
      <c r="AZ103" s="1742"/>
      <c r="BA103" s="1742"/>
      <c r="BB103" s="1742"/>
      <c r="BC103" s="1742"/>
      <c r="BD103" s="1742"/>
      <c r="BE103" s="1742"/>
      <c r="BF103" s="1742"/>
    </row>
    <row r="104" spans="1:58" ht="11.25" customHeight="1">
      <c r="A104" s="1089" t="s">
        <v>1161</v>
      </c>
      <c r="B104" s="1089" t="s">
        <v>1209</v>
      </c>
      <c r="D104" s="1083"/>
      <c r="E104" s="1093"/>
      <c r="F104" s="2686"/>
      <c r="G104" s="2362" t="s">
        <v>104</v>
      </c>
      <c r="H104" s="2604" t="s">
        <v>92</v>
      </c>
      <c r="I104" s="2667" t="s">
        <v>1210</v>
      </c>
      <c r="J104" s="2672" t="s">
        <v>1211</v>
      </c>
      <c r="K104" s="2669"/>
      <c r="L104" s="2360" t="s">
        <v>19</v>
      </c>
      <c r="M104" s="2365"/>
      <c r="N104" s="1900"/>
      <c r="O104" s="1100" t="s">
        <v>395</v>
      </c>
      <c r="P104" s="1101"/>
      <c r="Q104" s="1101"/>
      <c r="R104" s="1101"/>
      <c r="S104" s="1101"/>
      <c r="T104" s="1101"/>
      <c r="U104" s="1101"/>
      <c r="V104" s="1101"/>
      <c r="W104" s="1101"/>
      <c r="X104" s="1101"/>
      <c r="Y104" s="1101"/>
      <c r="Z104" s="1101"/>
      <c r="AA104" s="1101"/>
      <c r="AB104" s="1101"/>
      <c r="AC104" s="1101"/>
      <c r="AD104" s="1101"/>
      <c r="AE104" s="1101"/>
      <c r="AF104" s="2670">
        <v>2027</v>
      </c>
      <c r="AG104" s="2656" t="s">
        <v>1197</v>
      </c>
      <c r="AH104" s="2656" t="s">
        <v>1212</v>
      </c>
      <c r="AI104" s="2658"/>
      <c r="AJ104" s="2656" t="s">
        <v>1199</v>
      </c>
      <c r="AK104" s="2656" t="s">
        <v>1199</v>
      </c>
      <c r="AL104" s="1902"/>
      <c r="AM104" s="1742"/>
      <c r="AN104" s="1742"/>
      <c r="AO104" s="1742"/>
      <c r="AP104" s="1742"/>
      <c r="AQ104" s="1742"/>
      <c r="AR104" s="1742"/>
      <c r="AS104" s="1742"/>
      <c r="AT104" s="1742"/>
      <c r="AU104" s="1742"/>
      <c r="AV104" s="1742"/>
      <c r="AW104" s="1742"/>
      <c r="AX104" s="1742"/>
      <c r="AY104" s="1742"/>
      <c r="AZ104" s="1742"/>
      <c r="BA104" s="1742"/>
      <c r="BB104" s="1742"/>
      <c r="BC104" s="1742"/>
      <c r="BD104" s="1742"/>
      <c r="BE104" s="1742"/>
      <c r="BF104" s="1742"/>
    </row>
    <row r="105" spans="1:58" ht="11.25" customHeight="1">
      <c r="A105" s="1089" t="s">
        <v>1161</v>
      </c>
      <c r="D105" s="1083"/>
      <c r="E105" s="1093"/>
      <c r="F105" s="2686"/>
      <c r="G105" s="2608"/>
      <c r="H105" s="2604" t="s">
        <v>91</v>
      </c>
      <c r="I105" s="2667"/>
      <c r="J105" s="2672"/>
      <c r="K105" s="2669"/>
      <c r="L105" s="2360"/>
      <c r="M105" s="2365"/>
      <c r="N105" s="2661"/>
      <c r="O105" s="2662">
        <v>1</v>
      </c>
      <c r="P105" s="2663" t="s">
        <v>19</v>
      </c>
      <c r="Q105" s="2653" t="s">
        <v>22</v>
      </c>
      <c r="R105" s="2653" t="s">
        <v>22</v>
      </c>
      <c r="S105" s="2653" t="s">
        <v>22</v>
      </c>
      <c r="T105" s="2653" t="s">
        <v>22</v>
      </c>
      <c r="U105" s="2653" t="s">
        <v>22</v>
      </c>
      <c r="V105" s="2653" t="s">
        <v>22</v>
      </c>
      <c r="W105" s="2653" t="s">
        <v>22</v>
      </c>
      <c r="X105" s="2653" t="s">
        <v>22</v>
      </c>
      <c r="Y105" s="2653"/>
      <c r="Z105" s="1098"/>
      <c r="AA105" s="1099"/>
      <c r="AB105" s="1099"/>
      <c r="AC105" s="1103"/>
      <c r="AD105" s="1103"/>
      <c r="AE105" s="1104"/>
      <c r="AF105" s="2670"/>
      <c r="AG105" s="2656"/>
      <c r="AH105" s="2656"/>
      <c r="AI105" s="2658"/>
      <c r="AJ105" s="2656"/>
      <c r="AK105" s="2656"/>
      <c r="AL105" s="1902"/>
      <c r="AM105" s="1742"/>
      <c r="AN105" s="1742"/>
      <c r="AO105" s="1742"/>
      <c r="AP105" s="1742"/>
      <c r="AQ105" s="1742"/>
      <c r="AR105" s="1742"/>
      <c r="AS105" s="1742"/>
      <c r="AT105" s="1742"/>
      <c r="AU105" s="1742"/>
      <c r="AV105" s="1742"/>
      <c r="AW105" s="1742"/>
      <c r="AX105" s="1742"/>
      <c r="AY105" s="1742"/>
      <c r="AZ105" s="1742"/>
      <c r="BA105" s="1742"/>
      <c r="BB105" s="1742"/>
      <c r="BC105" s="1742"/>
      <c r="BD105" s="1742"/>
      <c r="BE105" s="1742"/>
      <c r="BF105" s="1742"/>
    </row>
    <row r="106" spans="1:58" ht="11.25" customHeight="1">
      <c r="A106" s="1089" t="s">
        <v>1161</v>
      </c>
      <c r="D106" s="1083"/>
      <c r="E106" s="1093"/>
      <c r="F106" s="2686"/>
      <c r="G106" s="2608"/>
      <c r="H106" s="2604" t="s">
        <v>91</v>
      </c>
      <c r="I106" s="2667"/>
      <c r="J106" s="2672"/>
      <c r="K106" s="2669"/>
      <c r="L106" s="2360"/>
      <c r="M106" s="2365"/>
      <c r="N106" s="2661"/>
      <c r="O106" s="2662"/>
      <c r="P106" s="2664"/>
      <c r="Q106" s="2653"/>
      <c r="R106" s="2653"/>
      <c r="S106" s="2666"/>
      <c r="T106" s="2653"/>
      <c r="U106" s="2653"/>
      <c r="V106" s="2653"/>
      <c r="W106" s="2653"/>
      <c r="X106" s="2653"/>
      <c r="Y106" s="2653"/>
      <c r="Z106" s="1747"/>
      <c r="AA106" s="1714">
        <v>1</v>
      </c>
      <c r="AB106" s="1102" t="s">
        <v>1206</v>
      </c>
      <c r="AC106" s="1092">
        <v>300856.10214999999</v>
      </c>
      <c r="AD106" s="1102" t="str">
        <f>AB106</f>
        <v xml:space="preserve">      Прочие амортизационные отчисления</v>
      </c>
      <c r="AE106" s="1092">
        <v>254747.75193</v>
      </c>
      <c r="AF106" s="2670"/>
      <c r="AG106" s="2656"/>
      <c r="AH106" s="2656"/>
      <c r="AI106" s="2658"/>
      <c r="AJ106" s="2656"/>
      <c r="AK106" s="2656"/>
      <c r="AL106" s="1902"/>
      <c r="AM106" s="1742"/>
      <c r="AN106" s="1742"/>
      <c r="AO106" s="1742"/>
      <c r="AP106" s="1742"/>
      <c r="AQ106" s="1742"/>
      <c r="AR106" s="1742"/>
      <c r="AS106" s="1742"/>
      <c r="AT106" s="1742"/>
      <c r="AU106" s="1742"/>
      <c r="AV106" s="1742"/>
      <c r="AW106" s="1742"/>
      <c r="AX106" s="1742"/>
      <c r="AY106" s="1742"/>
      <c r="AZ106" s="1742"/>
      <c r="BA106" s="1742"/>
      <c r="BB106" s="1742"/>
      <c r="BC106" s="1742"/>
      <c r="BD106" s="1742"/>
      <c r="BE106" s="1742"/>
      <c r="BF106" s="1742"/>
    </row>
    <row r="107" spans="1:58" ht="11.25" customHeight="1">
      <c r="A107" s="1089" t="s">
        <v>1161</v>
      </c>
      <c r="D107" s="1083"/>
      <c r="E107" s="1093"/>
      <c r="F107" s="2608"/>
      <c r="G107" s="2608"/>
      <c r="H107" s="2608"/>
      <c r="I107" s="2608"/>
      <c r="J107" s="2608"/>
      <c r="K107" s="2608"/>
      <c r="L107" s="2608"/>
      <c r="M107" s="2608"/>
      <c r="N107" s="2608"/>
      <c r="O107" s="2608"/>
      <c r="P107" s="2608"/>
      <c r="Q107" s="2608"/>
      <c r="R107" s="2608"/>
      <c r="S107" s="2608"/>
      <c r="T107" s="2608"/>
      <c r="U107" s="2608"/>
      <c r="V107" s="2608"/>
      <c r="W107" s="2608"/>
      <c r="X107" s="2608"/>
      <c r="Y107" s="2608"/>
      <c r="Z107" s="619" t="s">
        <v>104</v>
      </c>
      <c r="AA107" s="1734" t="s">
        <v>103</v>
      </c>
      <c r="AB107" s="1102" t="s">
        <v>1201</v>
      </c>
      <c r="AC107" s="1092">
        <v>57567.039120000001</v>
      </c>
      <c r="AD107" s="1102" t="str">
        <f>AB107</f>
        <v xml:space="preserve">  Прибыль направляемая на инвестиции</v>
      </c>
      <c r="AE107" s="1092">
        <v>53969.101600000002</v>
      </c>
      <c r="AF107" s="2671"/>
      <c r="AG107" s="2657"/>
      <c r="AH107" s="2657"/>
      <c r="AI107" s="2659"/>
      <c r="AJ107" s="2657"/>
      <c r="AK107" s="2660"/>
      <c r="AL107" s="1902"/>
      <c r="AM107" s="1742"/>
      <c r="AN107" s="1742"/>
      <c r="AO107" s="1742"/>
      <c r="AP107" s="1742"/>
      <c r="AQ107" s="1742"/>
      <c r="AR107" s="1742"/>
      <c r="AS107" s="1742"/>
      <c r="AT107" s="1742"/>
      <c r="AU107" s="1742"/>
      <c r="AV107" s="1742"/>
      <c r="AW107" s="1742"/>
      <c r="AX107" s="1742"/>
      <c r="AY107" s="1742"/>
      <c r="AZ107" s="1742"/>
      <c r="BA107" s="1742"/>
      <c r="BB107" s="1742"/>
      <c r="BC107" s="1742"/>
      <c r="BD107" s="1742"/>
      <c r="BE107" s="1742"/>
      <c r="BF107" s="1742"/>
    </row>
    <row r="108" spans="1:58" ht="11.25" customHeight="1">
      <c r="A108" s="1089" t="s">
        <v>1161</v>
      </c>
      <c r="D108" s="1083"/>
      <c r="E108" s="1093"/>
      <c r="F108" s="2608"/>
      <c r="G108" s="2608"/>
      <c r="H108" s="2608"/>
      <c r="I108" s="2608"/>
      <c r="J108" s="2608"/>
      <c r="K108" s="2608"/>
      <c r="L108" s="2608"/>
      <c r="M108" s="2608"/>
      <c r="N108" s="2608"/>
      <c r="O108" s="2608"/>
      <c r="P108" s="2608"/>
      <c r="Q108" s="2608"/>
      <c r="R108" s="2608"/>
      <c r="S108" s="2608"/>
      <c r="T108" s="2608"/>
      <c r="U108" s="2608"/>
      <c r="V108" s="2608"/>
      <c r="W108" s="2608"/>
      <c r="X108" s="2608"/>
      <c r="Y108" s="2608"/>
      <c r="Z108" s="619" t="s">
        <v>104</v>
      </c>
      <c r="AA108" s="1734" t="s">
        <v>91</v>
      </c>
      <c r="AB108" s="1102" t="s">
        <v>1213</v>
      </c>
      <c r="AC108" s="1092">
        <v>12891.673059999999</v>
      </c>
      <c r="AD108" s="1102" t="str">
        <f>AB108</f>
        <v xml:space="preserve">      Экономия расходов в результате реализации мероприятий инвестиционной программы</v>
      </c>
      <c r="AE108" s="1092">
        <v>12891.673059999999</v>
      </c>
      <c r="AF108" s="2671"/>
      <c r="AG108" s="2657"/>
      <c r="AH108" s="2657"/>
      <c r="AI108" s="2659"/>
      <c r="AJ108" s="2657"/>
      <c r="AK108" s="2660"/>
      <c r="AL108" s="1902"/>
      <c r="AM108" s="1742"/>
      <c r="AN108" s="1742"/>
      <c r="AO108" s="1742"/>
      <c r="AP108" s="1742"/>
      <c r="AQ108" s="1742"/>
      <c r="AR108" s="1742"/>
      <c r="AS108" s="1742"/>
      <c r="AT108" s="1742"/>
      <c r="AU108" s="1742"/>
      <c r="AV108" s="1742"/>
      <c r="AW108" s="1742"/>
      <c r="AX108" s="1742"/>
      <c r="AY108" s="1742"/>
      <c r="AZ108" s="1742"/>
      <c r="BA108" s="1742"/>
      <c r="BB108" s="1742"/>
      <c r="BC108" s="1742"/>
      <c r="BD108" s="1742"/>
      <c r="BE108" s="1742"/>
      <c r="BF108" s="1742"/>
    </row>
    <row r="109" spans="1:58" ht="11.25" customHeight="1">
      <c r="A109" s="1089" t="s">
        <v>1161</v>
      </c>
      <c r="D109" s="1083"/>
      <c r="E109" s="1093"/>
      <c r="F109" s="2686"/>
      <c r="G109" s="2608"/>
      <c r="H109" s="2604" t="s">
        <v>91</v>
      </c>
      <c r="I109" s="2667"/>
      <c r="J109" s="2672"/>
      <c r="K109" s="2669"/>
      <c r="L109" s="2360"/>
      <c r="M109" s="2365"/>
      <c r="N109" s="2661"/>
      <c r="O109" s="2662"/>
      <c r="P109" s="2665"/>
      <c r="Q109" s="2653"/>
      <c r="R109" s="2653"/>
      <c r="S109" s="2666"/>
      <c r="T109" s="2653"/>
      <c r="U109" s="2653"/>
      <c r="V109" s="2653"/>
      <c r="W109" s="2653"/>
      <c r="X109" s="2653"/>
      <c r="Y109" s="2653"/>
      <c r="Z109" s="1098"/>
      <c r="AA109" s="1099"/>
      <c r="AB109" s="1164" t="s">
        <v>1202</v>
      </c>
      <c r="AC109" s="1103"/>
      <c r="AD109" s="1103"/>
      <c r="AE109" s="1105"/>
      <c r="AF109" s="2670"/>
      <c r="AG109" s="2656"/>
      <c r="AH109" s="2656"/>
      <c r="AI109" s="2658"/>
      <c r="AJ109" s="2656"/>
      <c r="AK109" s="2656"/>
      <c r="AL109" s="1902"/>
      <c r="AM109" s="1742"/>
      <c r="AN109" s="1742"/>
      <c r="AO109" s="1742"/>
      <c r="AP109" s="1742"/>
      <c r="AQ109" s="1742"/>
      <c r="AR109" s="1742"/>
      <c r="AS109" s="1742"/>
      <c r="AT109" s="1742"/>
      <c r="AU109" s="1742"/>
      <c r="AV109" s="1742"/>
      <c r="AW109" s="1742"/>
      <c r="AX109" s="1742"/>
      <c r="AY109" s="1742"/>
      <c r="AZ109" s="1742"/>
      <c r="BA109" s="1742"/>
      <c r="BB109" s="1742"/>
      <c r="BC109" s="1742"/>
      <c r="BD109" s="1742"/>
      <c r="BE109" s="1742"/>
      <c r="BF109" s="1742"/>
    </row>
    <row r="110" spans="1:58" ht="11.25" customHeight="1">
      <c r="A110" s="1089" t="s">
        <v>1161</v>
      </c>
      <c r="D110" s="1083"/>
      <c r="E110" s="1093"/>
      <c r="F110" s="2686"/>
      <c r="G110" s="2608"/>
      <c r="H110" s="2604" t="s">
        <v>91</v>
      </c>
      <c r="I110" s="2667"/>
      <c r="J110" s="2672"/>
      <c r="K110" s="2669"/>
      <c r="L110" s="2360"/>
      <c r="M110" s="2365"/>
      <c r="N110" s="1098"/>
      <c r="O110" s="1099"/>
      <c r="P110" s="1091" t="s">
        <v>1203</v>
      </c>
      <c r="Q110" s="1099"/>
      <c r="R110" s="1099"/>
      <c r="S110" s="1099"/>
      <c r="T110" s="1099"/>
      <c r="U110" s="1099"/>
      <c r="V110" s="1099"/>
      <c r="W110" s="1099"/>
      <c r="X110" s="1099"/>
      <c r="Y110" s="1099"/>
      <c r="Z110" s="1099"/>
      <c r="AA110" s="1099"/>
      <c r="AB110" s="1099"/>
      <c r="AC110" s="1099"/>
      <c r="AD110" s="1099"/>
      <c r="AE110" s="1106"/>
      <c r="AF110" s="2670"/>
      <c r="AG110" s="2656"/>
      <c r="AH110" s="2656"/>
      <c r="AI110" s="2658"/>
      <c r="AJ110" s="2656"/>
      <c r="AK110" s="2656"/>
      <c r="AL110" s="1902"/>
      <c r="AM110" s="1742"/>
      <c r="AN110" s="1742"/>
      <c r="AO110" s="1742"/>
      <c r="AP110" s="1742"/>
      <c r="AQ110" s="1742"/>
      <c r="AR110" s="1742"/>
      <c r="AS110" s="1742"/>
      <c r="AT110" s="1742"/>
      <c r="AU110" s="1742"/>
      <c r="AV110" s="1742"/>
      <c r="AW110" s="1742"/>
      <c r="AX110" s="1742"/>
      <c r="AY110" s="1742"/>
      <c r="AZ110" s="1742"/>
      <c r="BA110" s="1742"/>
      <c r="BB110" s="1742"/>
      <c r="BC110" s="1742"/>
      <c r="BD110" s="1742"/>
      <c r="BE110" s="1742"/>
      <c r="BF110" s="1742"/>
    </row>
    <row r="111" spans="1:58" ht="11.25" customHeight="1">
      <c r="A111" s="1089" t="s">
        <v>1161</v>
      </c>
      <c r="B111" s="1089" t="s">
        <v>1209</v>
      </c>
      <c r="D111" s="1083"/>
      <c r="E111" s="1093"/>
      <c r="F111" s="2686"/>
      <c r="G111" s="2362" t="s">
        <v>104</v>
      </c>
      <c r="H111" s="2604" t="s">
        <v>123</v>
      </c>
      <c r="I111" s="2667" t="s">
        <v>1210</v>
      </c>
      <c r="J111" s="2672" t="s">
        <v>1214</v>
      </c>
      <c r="K111" s="2669"/>
      <c r="L111" s="2360" t="s">
        <v>19</v>
      </c>
      <c r="M111" s="2365"/>
      <c r="N111" s="1900"/>
      <c r="O111" s="1100" t="s">
        <v>395</v>
      </c>
      <c r="P111" s="1101"/>
      <c r="Q111" s="1101"/>
      <c r="R111" s="1101"/>
      <c r="S111" s="1101"/>
      <c r="T111" s="1101"/>
      <c r="U111" s="1101"/>
      <c r="V111" s="1101"/>
      <c r="W111" s="1101"/>
      <c r="X111" s="1101"/>
      <c r="Y111" s="1101"/>
      <c r="Z111" s="1101"/>
      <c r="AA111" s="1101"/>
      <c r="AB111" s="1101"/>
      <c r="AC111" s="1101"/>
      <c r="AD111" s="1101"/>
      <c r="AE111" s="1101"/>
      <c r="AF111" s="2670">
        <v>2028</v>
      </c>
      <c r="AG111" s="2656" t="s">
        <v>1197</v>
      </c>
      <c r="AH111" s="2656" t="s">
        <v>1205</v>
      </c>
      <c r="AI111" s="2658"/>
      <c r="AJ111" s="2656" t="s">
        <v>1199</v>
      </c>
      <c r="AK111" s="2656" t="s">
        <v>1199</v>
      </c>
      <c r="AL111" s="1902"/>
      <c r="AM111" s="1742"/>
      <c r="AN111" s="1742"/>
      <c r="AO111" s="1742"/>
      <c r="AP111" s="1742"/>
      <c r="AQ111" s="1742"/>
      <c r="AR111" s="1742"/>
      <c r="AS111" s="1742"/>
      <c r="AT111" s="1742"/>
      <c r="AU111" s="1742"/>
      <c r="AV111" s="1742"/>
      <c r="AW111" s="1742"/>
      <c r="AX111" s="1742"/>
      <c r="AY111" s="1742"/>
      <c r="AZ111" s="1742"/>
      <c r="BA111" s="1742"/>
      <c r="BB111" s="1742"/>
      <c r="BC111" s="1742"/>
      <c r="BD111" s="1742"/>
      <c r="BE111" s="1742"/>
      <c r="BF111" s="1742"/>
    </row>
    <row r="112" spans="1:58" ht="11.25" customHeight="1">
      <c r="A112" s="1089" t="s">
        <v>1161</v>
      </c>
      <c r="D112" s="1083"/>
      <c r="E112" s="1093"/>
      <c r="F112" s="2686"/>
      <c r="G112" s="2608"/>
      <c r="H112" s="2604" t="s">
        <v>92</v>
      </c>
      <c r="I112" s="2667"/>
      <c r="J112" s="2672"/>
      <c r="K112" s="2669"/>
      <c r="L112" s="2360"/>
      <c r="M112" s="2365"/>
      <c r="N112" s="2661"/>
      <c r="O112" s="2662">
        <v>1</v>
      </c>
      <c r="P112" s="2663" t="s">
        <v>19</v>
      </c>
      <c r="Q112" s="2653" t="s">
        <v>22</v>
      </c>
      <c r="R112" s="2653" t="s">
        <v>22</v>
      </c>
      <c r="S112" s="2653" t="s">
        <v>22</v>
      </c>
      <c r="T112" s="2653" t="s">
        <v>22</v>
      </c>
      <c r="U112" s="2653" t="s">
        <v>22</v>
      </c>
      <c r="V112" s="2653" t="s">
        <v>22</v>
      </c>
      <c r="W112" s="2653" t="s">
        <v>22</v>
      </c>
      <c r="X112" s="2653" t="s">
        <v>22</v>
      </c>
      <c r="Y112" s="2653"/>
      <c r="Z112" s="1098"/>
      <c r="AA112" s="1099"/>
      <c r="AB112" s="1099"/>
      <c r="AC112" s="1103"/>
      <c r="AD112" s="1103"/>
      <c r="AE112" s="1104"/>
      <c r="AF112" s="2670"/>
      <c r="AG112" s="2656"/>
      <c r="AH112" s="2656"/>
      <c r="AI112" s="2658"/>
      <c r="AJ112" s="2656"/>
      <c r="AK112" s="2656"/>
      <c r="AL112" s="1902"/>
      <c r="AM112" s="1742"/>
      <c r="AN112" s="1742"/>
      <c r="AO112" s="1742"/>
      <c r="AP112" s="1742"/>
      <c r="AQ112" s="1742"/>
      <c r="AR112" s="1742"/>
      <c r="AS112" s="1742"/>
      <c r="AT112" s="1742"/>
      <c r="AU112" s="1742"/>
      <c r="AV112" s="1742"/>
      <c r="AW112" s="1742"/>
      <c r="AX112" s="1742"/>
      <c r="AY112" s="1742"/>
      <c r="AZ112" s="1742"/>
      <c r="BA112" s="1742"/>
      <c r="BB112" s="1742"/>
      <c r="BC112" s="1742"/>
      <c r="BD112" s="1742"/>
      <c r="BE112" s="1742"/>
      <c r="BF112" s="1742"/>
    </row>
    <row r="113" spans="1:58" ht="11.25" customHeight="1">
      <c r="A113" s="1089" t="s">
        <v>1161</v>
      </c>
      <c r="D113" s="1083"/>
      <c r="E113" s="1093"/>
      <c r="F113" s="2686"/>
      <c r="G113" s="2608"/>
      <c r="H113" s="2604" t="s">
        <v>92</v>
      </c>
      <c r="I113" s="2667"/>
      <c r="J113" s="2672"/>
      <c r="K113" s="2669"/>
      <c r="L113" s="2360"/>
      <c r="M113" s="2365"/>
      <c r="N113" s="2661"/>
      <c r="O113" s="2662"/>
      <c r="P113" s="2664"/>
      <c r="Q113" s="2653"/>
      <c r="R113" s="2653"/>
      <c r="S113" s="2666"/>
      <c r="T113" s="2653"/>
      <c r="U113" s="2653"/>
      <c r="V113" s="2653"/>
      <c r="W113" s="2653"/>
      <c r="X113" s="2653"/>
      <c r="Y113" s="2653"/>
      <c r="Z113" s="1747"/>
      <c r="AA113" s="1714">
        <v>1</v>
      </c>
      <c r="AB113" s="1102" t="s">
        <v>1206</v>
      </c>
      <c r="AC113" s="1092">
        <v>222234.93437999999</v>
      </c>
      <c r="AD113" s="1102" t="str">
        <f>AB113</f>
        <v xml:space="preserve">      Прочие амортизационные отчисления</v>
      </c>
      <c r="AE113" s="1092">
        <v>219482.96281</v>
      </c>
      <c r="AF113" s="2670"/>
      <c r="AG113" s="2656"/>
      <c r="AH113" s="2656"/>
      <c r="AI113" s="2658"/>
      <c r="AJ113" s="2656"/>
      <c r="AK113" s="2656"/>
      <c r="AL113" s="1902"/>
      <c r="AM113" s="1742"/>
      <c r="AN113" s="1742"/>
      <c r="AO113" s="1742"/>
      <c r="AP113" s="1742"/>
      <c r="AQ113" s="1742"/>
      <c r="AR113" s="1742"/>
      <c r="AS113" s="1742"/>
      <c r="AT113" s="1742"/>
      <c r="AU113" s="1742"/>
      <c r="AV113" s="1742"/>
      <c r="AW113" s="1742"/>
      <c r="AX113" s="1742"/>
      <c r="AY113" s="1742"/>
      <c r="AZ113" s="1742"/>
      <c r="BA113" s="1742"/>
      <c r="BB113" s="1742"/>
      <c r="BC113" s="1742"/>
      <c r="BD113" s="1742"/>
      <c r="BE113" s="1742"/>
      <c r="BF113" s="1742"/>
    </row>
    <row r="114" spans="1:58" ht="11.25" customHeight="1">
      <c r="A114" s="1089" t="s">
        <v>1161</v>
      </c>
      <c r="D114" s="1083"/>
      <c r="E114" s="1093"/>
      <c r="F114" s="2608"/>
      <c r="G114" s="2608"/>
      <c r="H114" s="2608"/>
      <c r="I114" s="2608"/>
      <c r="J114" s="2608"/>
      <c r="K114" s="2608"/>
      <c r="L114" s="2608"/>
      <c r="M114" s="2608"/>
      <c r="N114" s="2608"/>
      <c r="O114" s="2608"/>
      <c r="P114" s="2608"/>
      <c r="Q114" s="2608"/>
      <c r="R114" s="2608"/>
      <c r="S114" s="2608"/>
      <c r="T114" s="2608"/>
      <c r="U114" s="2608"/>
      <c r="V114" s="2608"/>
      <c r="W114" s="2608"/>
      <c r="X114" s="2608"/>
      <c r="Y114" s="2608"/>
      <c r="Z114" s="619" t="s">
        <v>104</v>
      </c>
      <c r="AA114" s="1734" t="s">
        <v>103</v>
      </c>
      <c r="AB114" s="1102" t="s">
        <v>1201</v>
      </c>
      <c r="AC114" s="1092">
        <v>64858.735480000003</v>
      </c>
      <c r="AD114" s="1102" t="str">
        <f>AB114</f>
        <v xml:space="preserve">  Прибыль направляемая на инвестиции</v>
      </c>
      <c r="AE114" s="1092">
        <v>64858.735480000003</v>
      </c>
      <c r="AF114" s="2671"/>
      <c r="AG114" s="2657"/>
      <c r="AH114" s="2657"/>
      <c r="AI114" s="2659"/>
      <c r="AJ114" s="2657"/>
      <c r="AK114" s="2660"/>
      <c r="AL114" s="1902"/>
      <c r="AM114" s="1742"/>
      <c r="AN114" s="1742"/>
      <c r="AO114" s="1742"/>
      <c r="AP114" s="1742"/>
      <c r="AQ114" s="1742"/>
      <c r="AR114" s="1742"/>
      <c r="AS114" s="1742"/>
      <c r="AT114" s="1742"/>
      <c r="AU114" s="1742"/>
      <c r="AV114" s="1742"/>
      <c r="AW114" s="1742"/>
      <c r="AX114" s="1742"/>
      <c r="AY114" s="1742"/>
      <c r="AZ114" s="1742"/>
      <c r="BA114" s="1742"/>
      <c r="BB114" s="1742"/>
      <c r="BC114" s="1742"/>
      <c r="BD114" s="1742"/>
      <c r="BE114" s="1742"/>
      <c r="BF114" s="1742"/>
    </row>
    <row r="115" spans="1:58" ht="11.25" customHeight="1">
      <c r="A115" s="1089" t="s">
        <v>1161</v>
      </c>
      <c r="D115" s="1083"/>
      <c r="E115" s="1093"/>
      <c r="F115" s="2686"/>
      <c r="G115" s="2608"/>
      <c r="H115" s="2604" t="s">
        <v>92</v>
      </c>
      <c r="I115" s="2667"/>
      <c r="J115" s="2672"/>
      <c r="K115" s="2669"/>
      <c r="L115" s="2360"/>
      <c r="M115" s="2365"/>
      <c r="N115" s="2661"/>
      <c r="O115" s="2662"/>
      <c r="P115" s="2665"/>
      <c r="Q115" s="2653"/>
      <c r="R115" s="2653"/>
      <c r="S115" s="2666"/>
      <c r="T115" s="2653"/>
      <c r="U115" s="2653"/>
      <c r="V115" s="2653"/>
      <c r="W115" s="2653"/>
      <c r="X115" s="2653"/>
      <c r="Y115" s="2653"/>
      <c r="Z115" s="1098"/>
      <c r="AA115" s="1099"/>
      <c r="AB115" s="1164" t="s">
        <v>1202</v>
      </c>
      <c r="AC115" s="1103"/>
      <c r="AD115" s="1103"/>
      <c r="AE115" s="1105"/>
      <c r="AF115" s="2670"/>
      <c r="AG115" s="2656"/>
      <c r="AH115" s="2656"/>
      <c r="AI115" s="2658"/>
      <c r="AJ115" s="2656"/>
      <c r="AK115" s="2656"/>
      <c r="AL115" s="1902"/>
      <c r="AM115" s="1742"/>
      <c r="AN115" s="1742"/>
      <c r="AO115" s="1742"/>
      <c r="AP115" s="1742"/>
      <c r="AQ115" s="1742"/>
      <c r="AR115" s="1742"/>
      <c r="AS115" s="1742"/>
      <c r="AT115" s="1742"/>
      <c r="AU115" s="1742"/>
      <c r="AV115" s="1742"/>
      <c r="AW115" s="1742"/>
      <c r="AX115" s="1742"/>
      <c r="AY115" s="1742"/>
      <c r="AZ115" s="1742"/>
      <c r="BA115" s="1742"/>
      <c r="BB115" s="1742"/>
      <c r="BC115" s="1742"/>
      <c r="BD115" s="1742"/>
      <c r="BE115" s="1742"/>
      <c r="BF115" s="1742"/>
    </row>
    <row r="116" spans="1:58" ht="11.25" customHeight="1">
      <c r="A116" s="1089" t="s">
        <v>1161</v>
      </c>
      <c r="D116" s="1083"/>
      <c r="E116" s="1093"/>
      <c r="F116" s="2686"/>
      <c r="G116" s="2608"/>
      <c r="H116" s="2604" t="s">
        <v>92</v>
      </c>
      <c r="I116" s="2667"/>
      <c r="J116" s="2672"/>
      <c r="K116" s="2669"/>
      <c r="L116" s="2360"/>
      <c r="M116" s="2365"/>
      <c r="N116" s="1098"/>
      <c r="O116" s="1099"/>
      <c r="P116" s="1091" t="s">
        <v>1203</v>
      </c>
      <c r="Q116" s="1099"/>
      <c r="R116" s="1099"/>
      <c r="S116" s="1099"/>
      <c r="T116" s="1099"/>
      <c r="U116" s="1099"/>
      <c r="V116" s="1099"/>
      <c r="W116" s="1099"/>
      <c r="X116" s="1099"/>
      <c r="Y116" s="1099"/>
      <c r="Z116" s="1099"/>
      <c r="AA116" s="1099"/>
      <c r="AB116" s="1099"/>
      <c r="AC116" s="1099"/>
      <c r="AD116" s="1099"/>
      <c r="AE116" s="1106"/>
      <c r="AF116" s="2670"/>
      <c r="AG116" s="2656"/>
      <c r="AH116" s="2656"/>
      <c r="AI116" s="2658"/>
      <c r="AJ116" s="2656"/>
      <c r="AK116" s="2656"/>
      <c r="AL116" s="1902"/>
      <c r="AM116" s="1742"/>
      <c r="AN116" s="1742"/>
      <c r="AO116" s="1742"/>
      <c r="AP116" s="1742"/>
      <c r="AQ116" s="1742"/>
      <c r="AR116" s="1742"/>
      <c r="AS116" s="1742"/>
      <c r="AT116" s="1742"/>
      <c r="AU116" s="1742"/>
      <c r="AV116" s="1742"/>
      <c r="AW116" s="1742"/>
      <c r="AX116" s="1742"/>
      <c r="AY116" s="1742"/>
      <c r="AZ116" s="1742"/>
      <c r="BA116" s="1742"/>
      <c r="BB116" s="1742"/>
      <c r="BC116" s="1742"/>
      <c r="BD116" s="1742"/>
      <c r="BE116" s="1742"/>
      <c r="BF116" s="1742"/>
    </row>
    <row r="117" spans="1:58" ht="11.25" customHeight="1">
      <c r="A117" s="1089" t="s">
        <v>1161</v>
      </c>
      <c r="B117" s="1089" t="s">
        <v>1209</v>
      </c>
      <c r="D117" s="1083"/>
      <c r="E117" s="1093"/>
      <c r="F117" s="2686"/>
      <c r="G117" s="2362" t="s">
        <v>104</v>
      </c>
      <c r="H117" s="2604" t="s">
        <v>93</v>
      </c>
      <c r="I117" s="2667" t="s">
        <v>1210</v>
      </c>
      <c r="J117" s="2672" t="s">
        <v>1214</v>
      </c>
      <c r="K117" s="2669"/>
      <c r="L117" s="2360" t="s">
        <v>19</v>
      </c>
      <c r="M117" s="2365"/>
      <c r="N117" s="1900"/>
      <c r="O117" s="1100" t="s">
        <v>395</v>
      </c>
      <c r="P117" s="1101"/>
      <c r="Q117" s="1101"/>
      <c r="R117" s="1101"/>
      <c r="S117" s="1101"/>
      <c r="T117" s="1101"/>
      <c r="U117" s="1101"/>
      <c r="V117" s="1101"/>
      <c r="W117" s="1101"/>
      <c r="X117" s="1101"/>
      <c r="Y117" s="1101"/>
      <c r="Z117" s="1101"/>
      <c r="AA117" s="1101"/>
      <c r="AB117" s="1101"/>
      <c r="AC117" s="1101"/>
      <c r="AD117" s="1101"/>
      <c r="AE117" s="1101"/>
      <c r="AF117" s="2670">
        <v>2028</v>
      </c>
      <c r="AG117" s="2656" t="s">
        <v>1197</v>
      </c>
      <c r="AH117" s="2656" t="s">
        <v>1205</v>
      </c>
      <c r="AI117" s="2658"/>
      <c r="AJ117" s="2656" t="s">
        <v>1199</v>
      </c>
      <c r="AK117" s="2656" t="s">
        <v>1199</v>
      </c>
      <c r="AL117" s="1902"/>
      <c r="AM117" s="1742"/>
      <c r="AN117" s="1742"/>
      <c r="AO117" s="1742"/>
      <c r="AP117" s="1742"/>
      <c r="AQ117" s="1742"/>
      <c r="AR117" s="1742"/>
      <c r="AS117" s="1742"/>
      <c r="AT117" s="1742"/>
      <c r="AU117" s="1742"/>
      <c r="AV117" s="1742"/>
      <c r="AW117" s="1742"/>
      <c r="AX117" s="1742"/>
      <c r="AY117" s="1742"/>
      <c r="AZ117" s="1742"/>
      <c r="BA117" s="1742"/>
      <c r="BB117" s="1742"/>
      <c r="BC117" s="1742"/>
      <c r="BD117" s="1742"/>
      <c r="BE117" s="1742"/>
      <c r="BF117" s="1742"/>
    </row>
    <row r="118" spans="1:58" ht="11.25" customHeight="1">
      <c r="A118" s="1089" t="s">
        <v>1161</v>
      </c>
      <c r="D118" s="1083"/>
      <c r="E118" s="1093"/>
      <c r="F118" s="2686"/>
      <c r="G118" s="2608"/>
      <c r="H118" s="2604" t="s">
        <v>123</v>
      </c>
      <c r="I118" s="2667"/>
      <c r="J118" s="2672"/>
      <c r="K118" s="2669"/>
      <c r="L118" s="2360"/>
      <c r="M118" s="2365"/>
      <c r="N118" s="2661"/>
      <c r="O118" s="2662">
        <v>1</v>
      </c>
      <c r="P118" s="2663" t="s">
        <v>19</v>
      </c>
      <c r="Q118" s="2653" t="s">
        <v>22</v>
      </c>
      <c r="R118" s="2653" t="s">
        <v>22</v>
      </c>
      <c r="S118" s="2653" t="s">
        <v>22</v>
      </c>
      <c r="T118" s="2653" t="s">
        <v>22</v>
      </c>
      <c r="U118" s="2653" t="s">
        <v>22</v>
      </c>
      <c r="V118" s="2653" t="s">
        <v>22</v>
      </c>
      <c r="W118" s="2653" t="s">
        <v>22</v>
      </c>
      <c r="X118" s="2653" t="s">
        <v>22</v>
      </c>
      <c r="Y118" s="2653"/>
      <c r="Z118" s="1098"/>
      <c r="AA118" s="1099"/>
      <c r="AB118" s="1099"/>
      <c r="AC118" s="1103"/>
      <c r="AD118" s="1103"/>
      <c r="AE118" s="1104"/>
      <c r="AF118" s="2670"/>
      <c r="AG118" s="2656"/>
      <c r="AH118" s="2656"/>
      <c r="AI118" s="2658"/>
      <c r="AJ118" s="2656"/>
      <c r="AK118" s="2656"/>
      <c r="AL118" s="1902"/>
      <c r="AM118" s="1742"/>
      <c r="AN118" s="1742"/>
      <c r="AO118" s="1742"/>
      <c r="AP118" s="1742"/>
      <c r="AQ118" s="1742"/>
      <c r="AR118" s="1742"/>
      <c r="AS118" s="1742"/>
      <c r="AT118" s="1742"/>
      <c r="AU118" s="1742"/>
      <c r="AV118" s="1742"/>
      <c r="AW118" s="1742"/>
      <c r="AX118" s="1742"/>
      <c r="AY118" s="1742"/>
      <c r="AZ118" s="1742"/>
      <c r="BA118" s="1742"/>
      <c r="BB118" s="1742"/>
      <c r="BC118" s="1742"/>
      <c r="BD118" s="1742"/>
      <c r="BE118" s="1742"/>
      <c r="BF118" s="1742"/>
    </row>
    <row r="119" spans="1:58" ht="11.25" customHeight="1">
      <c r="A119" s="1089" t="s">
        <v>1161</v>
      </c>
      <c r="D119" s="1083"/>
      <c r="E119" s="1093"/>
      <c r="F119" s="2686"/>
      <c r="G119" s="2608"/>
      <c r="H119" s="2604" t="s">
        <v>123</v>
      </c>
      <c r="I119" s="2667"/>
      <c r="J119" s="2672"/>
      <c r="K119" s="2669"/>
      <c r="L119" s="2360"/>
      <c r="M119" s="2365"/>
      <c r="N119" s="2661"/>
      <c r="O119" s="2662"/>
      <c r="P119" s="2664"/>
      <c r="Q119" s="2653"/>
      <c r="R119" s="2653"/>
      <c r="S119" s="2666"/>
      <c r="T119" s="2653"/>
      <c r="U119" s="2653"/>
      <c r="V119" s="2653"/>
      <c r="W119" s="2653"/>
      <c r="X119" s="2653"/>
      <c r="Y119" s="2653"/>
      <c r="Z119" s="1747"/>
      <c r="AA119" s="1714">
        <v>1</v>
      </c>
      <c r="AB119" s="1102" t="s">
        <v>1201</v>
      </c>
      <c r="AC119" s="1092">
        <v>494922.85704999999</v>
      </c>
      <c r="AD119" s="1102" t="str">
        <f>AB119</f>
        <v xml:space="preserve">  Прибыль направляемая на инвестиции</v>
      </c>
      <c r="AE119" s="1092">
        <v>490805.49712999997</v>
      </c>
      <c r="AF119" s="2670"/>
      <c r="AG119" s="2656"/>
      <c r="AH119" s="2656"/>
      <c r="AI119" s="2658"/>
      <c r="AJ119" s="2656"/>
      <c r="AK119" s="2656"/>
      <c r="AL119" s="1902"/>
      <c r="AM119" s="1742"/>
      <c r="AN119" s="1742"/>
      <c r="AO119" s="1742"/>
      <c r="AP119" s="1742"/>
      <c r="AQ119" s="1742"/>
      <c r="AR119" s="1742"/>
      <c r="AS119" s="1742"/>
      <c r="AT119" s="1742"/>
      <c r="AU119" s="1742"/>
      <c r="AV119" s="1742"/>
      <c r="AW119" s="1742"/>
      <c r="AX119" s="1742"/>
      <c r="AY119" s="1742"/>
      <c r="AZ119" s="1742"/>
      <c r="BA119" s="1742"/>
      <c r="BB119" s="1742"/>
      <c r="BC119" s="1742"/>
      <c r="BD119" s="1742"/>
      <c r="BE119" s="1742"/>
      <c r="BF119" s="1742"/>
    </row>
    <row r="120" spans="1:58" ht="11.25" customHeight="1">
      <c r="A120" s="1089" t="s">
        <v>1161</v>
      </c>
      <c r="D120" s="1083"/>
      <c r="E120" s="1093"/>
      <c r="F120" s="2608"/>
      <c r="G120" s="2608"/>
      <c r="H120" s="2608"/>
      <c r="I120" s="2608"/>
      <c r="J120" s="2608"/>
      <c r="K120" s="2608"/>
      <c r="L120" s="2608"/>
      <c r="M120" s="2608"/>
      <c r="N120" s="2608"/>
      <c r="O120" s="2608"/>
      <c r="P120" s="2608"/>
      <c r="Q120" s="2608"/>
      <c r="R120" s="2608"/>
      <c r="S120" s="2608"/>
      <c r="T120" s="2608"/>
      <c r="U120" s="2608"/>
      <c r="V120" s="2608"/>
      <c r="W120" s="2608"/>
      <c r="X120" s="2608"/>
      <c r="Y120" s="2608"/>
      <c r="Z120" s="619" t="s">
        <v>104</v>
      </c>
      <c r="AA120" s="1734" t="s">
        <v>103</v>
      </c>
      <c r="AB120" s="1102" t="s">
        <v>1215</v>
      </c>
      <c r="AC120" s="1092">
        <v>247646.44819</v>
      </c>
      <c r="AD120" s="1102" t="str">
        <f>AB120</f>
        <v xml:space="preserve">  Кредиты</v>
      </c>
      <c r="AE120" s="1092">
        <v>258626.90870999999</v>
      </c>
      <c r="AF120" s="2671"/>
      <c r="AG120" s="2657"/>
      <c r="AH120" s="2657"/>
      <c r="AI120" s="2659"/>
      <c r="AJ120" s="2657"/>
      <c r="AK120" s="2660"/>
      <c r="AL120" s="1902"/>
      <c r="AM120" s="1742"/>
      <c r="AN120" s="1742"/>
      <c r="AO120" s="1742"/>
      <c r="AP120" s="1742"/>
      <c r="AQ120" s="1742"/>
      <c r="AR120" s="1742"/>
      <c r="AS120" s="1742"/>
      <c r="AT120" s="1742"/>
      <c r="AU120" s="1742"/>
      <c r="AV120" s="1742"/>
      <c r="AW120" s="1742"/>
      <c r="AX120" s="1742"/>
      <c r="AY120" s="1742"/>
      <c r="AZ120" s="1742"/>
      <c r="BA120" s="1742"/>
      <c r="BB120" s="1742"/>
      <c r="BC120" s="1742"/>
      <c r="BD120" s="1742"/>
      <c r="BE120" s="1742"/>
      <c r="BF120" s="1742"/>
    </row>
    <row r="121" spans="1:58" ht="11.25" customHeight="1">
      <c r="A121" s="1089" t="s">
        <v>1161</v>
      </c>
      <c r="D121" s="1083"/>
      <c r="E121" s="1093"/>
      <c r="F121" s="2686"/>
      <c r="G121" s="2608"/>
      <c r="H121" s="2604" t="s">
        <v>123</v>
      </c>
      <c r="I121" s="2667"/>
      <c r="J121" s="2672"/>
      <c r="K121" s="2669"/>
      <c r="L121" s="2360"/>
      <c r="M121" s="2365"/>
      <c r="N121" s="2661"/>
      <c r="O121" s="2662"/>
      <c r="P121" s="2665"/>
      <c r="Q121" s="2653"/>
      <c r="R121" s="2653"/>
      <c r="S121" s="2666"/>
      <c r="T121" s="2653"/>
      <c r="U121" s="2653"/>
      <c r="V121" s="2653"/>
      <c r="W121" s="2653"/>
      <c r="X121" s="2653"/>
      <c r="Y121" s="2653"/>
      <c r="Z121" s="1098"/>
      <c r="AA121" s="1099"/>
      <c r="AB121" s="1164" t="s">
        <v>1202</v>
      </c>
      <c r="AC121" s="1103"/>
      <c r="AD121" s="1103"/>
      <c r="AE121" s="1105"/>
      <c r="AF121" s="2670"/>
      <c r="AG121" s="2656"/>
      <c r="AH121" s="2656"/>
      <c r="AI121" s="2658"/>
      <c r="AJ121" s="2656"/>
      <c r="AK121" s="2656"/>
      <c r="AL121" s="1902"/>
      <c r="AM121" s="1742"/>
      <c r="AN121" s="1742"/>
      <c r="AO121" s="1742"/>
      <c r="AP121" s="1742"/>
      <c r="AQ121" s="1742"/>
      <c r="AR121" s="1742"/>
      <c r="AS121" s="1742"/>
      <c r="AT121" s="1742"/>
      <c r="AU121" s="1742"/>
      <c r="AV121" s="1742"/>
      <c r="AW121" s="1742"/>
      <c r="AX121" s="1742"/>
      <c r="AY121" s="1742"/>
      <c r="AZ121" s="1742"/>
      <c r="BA121" s="1742"/>
      <c r="BB121" s="1742"/>
      <c r="BC121" s="1742"/>
      <c r="BD121" s="1742"/>
      <c r="BE121" s="1742"/>
      <c r="BF121" s="1742"/>
    </row>
    <row r="122" spans="1:58" ht="11.25" customHeight="1">
      <c r="A122" s="1089" t="s">
        <v>1161</v>
      </c>
      <c r="D122" s="1083"/>
      <c r="E122" s="1093"/>
      <c r="F122" s="2686"/>
      <c r="G122" s="2608"/>
      <c r="H122" s="2604" t="s">
        <v>123</v>
      </c>
      <c r="I122" s="2667"/>
      <c r="J122" s="2672"/>
      <c r="K122" s="2669"/>
      <c r="L122" s="2360"/>
      <c r="M122" s="2365"/>
      <c r="N122" s="1098"/>
      <c r="O122" s="1099"/>
      <c r="P122" s="1091" t="s">
        <v>1203</v>
      </c>
      <c r="Q122" s="1099"/>
      <c r="R122" s="1099"/>
      <c r="S122" s="1099"/>
      <c r="T122" s="1099"/>
      <c r="U122" s="1099"/>
      <c r="V122" s="1099"/>
      <c r="W122" s="1099"/>
      <c r="X122" s="1099"/>
      <c r="Y122" s="1099"/>
      <c r="Z122" s="1099"/>
      <c r="AA122" s="1099"/>
      <c r="AB122" s="1099"/>
      <c r="AC122" s="1099"/>
      <c r="AD122" s="1099"/>
      <c r="AE122" s="1106"/>
      <c r="AF122" s="2670"/>
      <c r="AG122" s="2656"/>
      <c r="AH122" s="2656"/>
      <c r="AI122" s="2658"/>
      <c r="AJ122" s="2656"/>
      <c r="AK122" s="2656"/>
      <c r="AL122" s="1902"/>
      <c r="AM122" s="1742"/>
      <c r="AN122" s="1742"/>
      <c r="AO122" s="1742"/>
      <c r="AP122" s="1742"/>
      <c r="AQ122" s="1742"/>
      <c r="AR122" s="1742"/>
      <c r="AS122" s="1742"/>
      <c r="AT122" s="1742"/>
      <c r="AU122" s="1742"/>
      <c r="AV122" s="1742"/>
      <c r="AW122" s="1742"/>
      <c r="AX122" s="1742"/>
      <c r="AY122" s="1742"/>
      <c r="AZ122" s="1742"/>
      <c r="BA122" s="1742"/>
      <c r="BB122" s="1742"/>
      <c r="BC122" s="1742"/>
      <c r="BD122" s="1742"/>
      <c r="BE122" s="1742"/>
      <c r="BF122" s="1742"/>
    </row>
    <row r="123" spans="1:58" ht="11.25" customHeight="1">
      <c r="A123" s="1089" t="s">
        <v>1161</v>
      </c>
      <c r="B123" s="1089" t="s">
        <v>22</v>
      </c>
      <c r="D123" s="1083"/>
      <c r="E123" s="1093"/>
      <c r="F123" s="2686"/>
      <c r="G123" s="2362" t="s">
        <v>104</v>
      </c>
      <c r="H123" s="2604" t="s">
        <v>94</v>
      </c>
      <c r="I123" s="2667" t="s">
        <v>1216</v>
      </c>
      <c r="J123" s="2668" t="s">
        <v>22</v>
      </c>
      <c r="K123" s="2669"/>
      <c r="L123" s="2360" t="s">
        <v>19</v>
      </c>
      <c r="M123" s="2365"/>
      <c r="N123" s="1900"/>
      <c r="O123" s="1100" t="s">
        <v>395</v>
      </c>
      <c r="P123" s="1101"/>
      <c r="Q123" s="1101"/>
      <c r="R123" s="1101"/>
      <c r="S123" s="1101"/>
      <c r="T123" s="1101"/>
      <c r="U123" s="1101"/>
      <c r="V123" s="1101"/>
      <c r="W123" s="1101"/>
      <c r="X123" s="1101"/>
      <c r="Y123" s="1101"/>
      <c r="Z123" s="1101"/>
      <c r="AA123" s="1101"/>
      <c r="AB123" s="1101"/>
      <c r="AC123" s="1101"/>
      <c r="AD123" s="1101"/>
      <c r="AE123" s="1101"/>
      <c r="AF123" s="2670">
        <v>2025</v>
      </c>
      <c r="AG123" s="2656" t="s">
        <v>1197</v>
      </c>
      <c r="AH123" s="2656" t="s">
        <v>1217</v>
      </c>
      <c r="AI123" s="2670">
        <v>2025</v>
      </c>
      <c r="AJ123" s="2656" t="s">
        <v>1197</v>
      </c>
      <c r="AK123" s="2656" t="s">
        <v>1217</v>
      </c>
      <c r="AL123" s="1902"/>
      <c r="AM123" s="1742"/>
      <c r="AN123" s="1742"/>
      <c r="AO123" s="1742"/>
      <c r="AP123" s="1742"/>
      <c r="AQ123" s="1742"/>
      <c r="AR123" s="1742"/>
      <c r="AS123" s="1742"/>
      <c r="AT123" s="1742"/>
      <c r="AU123" s="1742"/>
      <c r="AV123" s="1742"/>
      <c r="AW123" s="1742"/>
      <c r="AX123" s="1742"/>
      <c r="AY123" s="1742"/>
      <c r="AZ123" s="1742"/>
      <c r="BA123" s="1742"/>
      <c r="BB123" s="1742"/>
      <c r="BC123" s="1742"/>
      <c r="BD123" s="1742"/>
      <c r="BE123" s="1742"/>
      <c r="BF123" s="1742"/>
    </row>
    <row r="124" spans="1:58" ht="11.25" customHeight="1">
      <c r="A124" s="1089" t="s">
        <v>1161</v>
      </c>
      <c r="D124" s="1083"/>
      <c r="E124" s="1093"/>
      <c r="F124" s="2686"/>
      <c r="G124" s="2608"/>
      <c r="H124" s="2604" t="s">
        <v>93</v>
      </c>
      <c r="I124" s="2667"/>
      <c r="J124" s="2668"/>
      <c r="K124" s="2669"/>
      <c r="L124" s="2360"/>
      <c r="M124" s="2365"/>
      <c r="N124" s="2661"/>
      <c r="O124" s="2662">
        <v>1</v>
      </c>
      <c r="P124" s="2663" t="s">
        <v>19</v>
      </c>
      <c r="Q124" s="2653" t="s">
        <v>22</v>
      </c>
      <c r="R124" s="2653" t="s">
        <v>22</v>
      </c>
      <c r="S124" s="2653" t="s">
        <v>22</v>
      </c>
      <c r="T124" s="2653" t="s">
        <v>22</v>
      </c>
      <c r="U124" s="2653" t="s">
        <v>22</v>
      </c>
      <c r="V124" s="2653" t="s">
        <v>22</v>
      </c>
      <c r="W124" s="2653" t="s">
        <v>22</v>
      </c>
      <c r="X124" s="2653" t="s">
        <v>22</v>
      </c>
      <c r="Y124" s="2653"/>
      <c r="Z124" s="1098"/>
      <c r="AA124" s="1099"/>
      <c r="AB124" s="1099"/>
      <c r="AC124" s="1103"/>
      <c r="AD124" s="1103"/>
      <c r="AE124" s="1104"/>
      <c r="AF124" s="2670"/>
      <c r="AG124" s="2656"/>
      <c r="AH124" s="2656"/>
      <c r="AI124" s="2670"/>
      <c r="AJ124" s="2656"/>
      <c r="AK124" s="2656"/>
      <c r="AL124" s="1902"/>
      <c r="AM124" s="1742"/>
      <c r="AN124" s="1742"/>
      <c r="AO124" s="1742"/>
      <c r="AP124" s="1742"/>
      <c r="AQ124" s="1742"/>
      <c r="AR124" s="1742"/>
      <c r="AS124" s="1742"/>
      <c r="AT124" s="1742"/>
      <c r="AU124" s="1742"/>
      <c r="AV124" s="1742"/>
      <c r="AW124" s="1742"/>
      <c r="AX124" s="1742"/>
      <c r="AY124" s="1742"/>
      <c r="AZ124" s="1742"/>
      <c r="BA124" s="1742"/>
      <c r="BB124" s="1742"/>
      <c r="BC124" s="1742"/>
      <c r="BD124" s="1742"/>
      <c r="BE124" s="1742"/>
      <c r="BF124" s="1742"/>
    </row>
    <row r="125" spans="1:58" ht="11.25" customHeight="1">
      <c r="A125" s="1089" t="s">
        <v>1161</v>
      </c>
      <c r="D125" s="1083"/>
      <c r="E125" s="1093"/>
      <c r="F125" s="2686"/>
      <c r="G125" s="2608"/>
      <c r="H125" s="2604" t="s">
        <v>93</v>
      </c>
      <c r="I125" s="2667"/>
      <c r="J125" s="2668"/>
      <c r="K125" s="2669"/>
      <c r="L125" s="2360"/>
      <c r="M125" s="2365"/>
      <c r="N125" s="2661"/>
      <c r="O125" s="2662"/>
      <c r="P125" s="2664"/>
      <c r="Q125" s="2653"/>
      <c r="R125" s="2653"/>
      <c r="S125" s="2666"/>
      <c r="T125" s="2653"/>
      <c r="U125" s="2653"/>
      <c r="V125" s="2653"/>
      <c r="W125" s="2653"/>
      <c r="X125" s="2653"/>
      <c r="Y125" s="2653"/>
      <c r="Z125" s="1747"/>
      <c r="AA125" s="1714">
        <v>1</v>
      </c>
      <c r="AB125" s="1102" t="s">
        <v>1206</v>
      </c>
      <c r="AC125" s="1092">
        <v>19719.87903</v>
      </c>
      <c r="AD125" s="1102" t="str">
        <f>AB125</f>
        <v xml:space="preserve">      Прочие амортизационные отчисления</v>
      </c>
      <c r="AE125" s="1092">
        <v>19619.87903</v>
      </c>
      <c r="AF125" s="2670"/>
      <c r="AG125" s="2656"/>
      <c r="AH125" s="2656"/>
      <c r="AI125" s="2670"/>
      <c r="AJ125" s="2656"/>
      <c r="AK125" s="2656"/>
      <c r="AL125" s="1902"/>
      <c r="AM125" s="1742"/>
      <c r="AN125" s="1742"/>
      <c r="AO125" s="1742"/>
      <c r="AP125" s="1742"/>
      <c r="AQ125" s="1742"/>
      <c r="AR125" s="1742"/>
      <c r="AS125" s="1742"/>
      <c r="AT125" s="1742"/>
      <c r="AU125" s="1742"/>
      <c r="AV125" s="1742"/>
      <c r="AW125" s="1742"/>
      <c r="AX125" s="1742"/>
      <c r="AY125" s="1742"/>
      <c r="AZ125" s="1742"/>
      <c r="BA125" s="1742"/>
      <c r="BB125" s="1742"/>
      <c r="BC125" s="1742"/>
      <c r="BD125" s="1742"/>
      <c r="BE125" s="1742"/>
      <c r="BF125" s="1742"/>
    </row>
    <row r="126" spans="1:58" ht="11.25" customHeight="1">
      <c r="A126" s="1089" t="s">
        <v>1161</v>
      </c>
      <c r="D126" s="1083"/>
      <c r="E126" s="1093"/>
      <c r="F126" s="2686"/>
      <c r="G126" s="2608"/>
      <c r="H126" s="2604" t="s">
        <v>93</v>
      </c>
      <c r="I126" s="2667"/>
      <c r="J126" s="2668"/>
      <c r="K126" s="2669"/>
      <c r="L126" s="2360"/>
      <c r="M126" s="2365"/>
      <c r="N126" s="2661"/>
      <c r="O126" s="2662"/>
      <c r="P126" s="2665"/>
      <c r="Q126" s="2653"/>
      <c r="R126" s="2653"/>
      <c r="S126" s="2666"/>
      <c r="T126" s="2653"/>
      <c r="U126" s="2653"/>
      <c r="V126" s="2653"/>
      <c r="W126" s="2653"/>
      <c r="X126" s="2653"/>
      <c r="Y126" s="2653"/>
      <c r="Z126" s="1098"/>
      <c r="AA126" s="1099"/>
      <c r="AB126" s="1164" t="s">
        <v>1202</v>
      </c>
      <c r="AC126" s="1103"/>
      <c r="AD126" s="1103"/>
      <c r="AE126" s="1105"/>
      <c r="AF126" s="2670"/>
      <c r="AG126" s="2656"/>
      <c r="AH126" s="2656"/>
      <c r="AI126" s="2670"/>
      <c r="AJ126" s="2656"/>
      <c r="AK126" s="2656"/>
      <c r="AL126" s="1902"/>
      <c r="AM126" s="1742"/>
      <c r="AN126" s="1742"/>
      <c r="AO126" s="1742"/>
      <c r="AP126" s="1742"/>
      <c r="AQ126" s="1742"/>
      <c r="AR126" s="1742"/>
      <c r="AS126" s="1742"/>
      <c r="AT126" s="1742"/>
      <c r="AU126" s="1742"/>
      <c r="AV126" s="1742"/>
      <c r="AW126" s="1742"/>
      <c r="AX126" s="1742"/>
      <c r="AY126" s="1742"/>
      <c r="AZ126" s="1742"/>
      <c r="BA126" s="1742"/>
      <c r="BB126" s="1742"/>
      <c r="BC126" s="1742"/>
      <c r="BD126" s="1742"/>
      <c r="BE126" s="1742"/>
      <c r="BF126" s="1742"/>
    </row>
    <row r="127" spans="1:58" ht="11.25" customHeight="1">
      <c r="A127" s="1089" t="s">
        <v>1161</v>
      </c>
      <c r="D127" s="1083"/>
      <c r="E127" s="1093"/>
      <c r="F127" s="2686"/>
      <c r="G127" s="2608"/>
      <c r="H127" s="2604" t="s">
        <v>93</v>
      </c>
      <c r="I127" s="2667"/>
      <c r="J127" s="2668"/>
      <c r="K127" s="2669"/>
      <c r="L127" s="2360"/>
      <c r="M127" s="2365"/>
      <c r="N127" s="1098"/>
      <c r="O127" s="1099"/>
      <c r="P127" s="1091" t="s">
        <v>1203</v>
      </c>
      <c r="Q127" s="1099"/>
      <c r="R127" s="1099"/>
      <c r="S127" s="1099"/>
      <c r="T127" s="1099"/>
      <c r="U127" s="1099"/>
      <c r="V127" s="1099"/>
      <c r="W127" s="1099"/>
      <c r="X127" s="1099"/>
      <c r="Y127" s="1099"/>
      <c r="Z127" s="1099"/>
      <c r="AA127" s="1099"/>
      <c r="AB127" s="1099"/>
      <c r="AC127" s="1099"/>
      <c r="AD127" s="1099"/>
      <c r="AE127" s="1106"/>
      <c r="AF127" s="2670"/>
      <c r="AG127" s="2656"/>
      <c r="AH127" s="2656"/>
      <c r="AI127" s="2670"/>
      <c r="AJ127" s="2656"/>
      <c r="AK127" s="2656"/>
      <c r="AL127" s="1902"/>
      <c r="AM127" s="1742"/>
      <c r="AN127" s="1742"/>
      <c r="AO127" s="1742"/>
      <c r="AP127" s="1742"/>
      <c r="AQ127" s="1742"/>
      <c r="AR127" s="1742"/>
      <c r="AS127" s="1742"/>
      <c r="AT127" s="1742"/>
      <c r="AU127" s="1742"/>
      <c r="AV127" s="1742"/>
      <c r="AW127" s="1742"/>
      <c r="AX127" s="1742"/>
      <c r="AY127" s="1742"/>
      <c r="AZ127" s="1742"/>
      <c r="BA127" s="1742"/>
      <c r="BB127" s="1742"/>
      <c r="BC127" s="1742"/>
      <c r="BD127" s="1742"/>
      <c r="BE127" s="1742"/>
      <c r="BF127" s="1742"/>
    </row>
    <row r="128" spans="1:58" ht="11.25" customHeight="1">
      <c r="A128" s="1089" t="s">
        <v>1161</v>
      </c>
      <c r="B128" s="1089" t="s">
        <v>22</v>
      </c>
      <c r="D128" s="1083"/>
      <c r="E128" s="1093"/>
      <c r="F128" s="2686"/>
      <c r="G128" s="2362" t="s">
        <v>104</v>
      </c>
      <c r="H128" s="2604" t="s">
        <v>124</v>
      </c>
      <c r="I128" s="2667" t="s">
        <v>1218</v>
      </c>
      <c r="J128" s="2668" t="s">
        <v>22</v>
      </c>
      <c r="K128" s="2669"/>
      <c r="L128" s="2360" t="s">
        <v>19</v>
      </c>
      <c r="M128" s="2365"/>
      <c r="N128" s="1900"/>
      <c r="O128" s="1100" t="s">
        <v>395</v>
      </c>
      <c r="P128" s="1101"/>
      <c r="Q128" s="1101"/>
      <c r="R128" s="1101"/>
      <c r="S128" s="1101"/>
      <c r="T128" s="1101"/>
      <c r="U128" s="1101"/>
      <c r="V128" s="1101"/>
      <c r="W128" s="1101"/>
      <c r="X128" s="1101"/>
      <c r="Y128" s="1101"/>
      <c r="Z128" s="1101"/>
      <c r="AA128" s="1101"/>
      <c r="AB128" s="1101"/>
      <c r="AC128" s="1101"/>
      <c r="AD128" s="1101"/>
      <c r="AE128" s="1101"/>
      <c r="AF128" s="2670">
        <v>2028</v>
      </c>
      <c r="AG128" s="2656" t="s">
        <v>1197</v>
      </c>
      <c r="AH128" s="2656" t="s">
        <v>1205</v>
      </c>
      <c r="AI128" s="2658"/>
      <c r="AJ128" s="2656" t="s">
        <v>1199</v>
      </c>
      <c r="AK128" s="2656" t="s">
        <v>1199</v>
      </c>
      <c r="AL128" s="1902"/>
      <c r="AM128" s="1742"/>
      <c r="AN128" s="1742"/>
      <c r="AO128" s="1742"/>
      <c r="AP128" s="1742"/>
      <c r="AQ128" s="1742"/>
      <c r="AR128" s="1742"/>
      <c r="AS128" s="1742"/>
      <c r="AT128" s="1742"/>
      <c r="AU128" s="1742"/>
      <c r="AV128" s="1742"/>
      <c r="AW128" s="1742"/>
      <c r="AX128" s="1742"/>
      <c r="AY128" s="1742"/>
      <c r="AZ128" s="1742"/>
      <c r="BA128" s="1742"/>
      <c r="BB128" s="1742"/>
      <c r="BC128" s="1742"/>
      <c r="BD128" s="1742"/>
      <c r="BE128" s="1742"/>
      <c r="BF128" s="1742"/>
    </row>
    <row r="129" spans="1:59" ht="11.25" customHeight="1">
      <c r="A129" s="1089" t="s">
        <v>1161</v>
      </c>
      <c r="D129" s="1083"/>
      <c r="E129" s="1093"/>
      <c r="F129" s="2686"/>
      <c r="G129" s="2608"/>
      <c r="H129" s="2604" t="s">
        <v>94</v>
      </c>
      <c r="I129" s="2667"/>
      <c r="J129" s="2668"/>
      <c r="K129" s="2669"/>
      <c r="L129" s="2360"/>
      <c r="M129" s="2365"/>
      <c r="N129" s="2661"/>
      <c r="O129" s="2662">
        <v>1</v>
      </c>
      <c r="P129" s="2663" t="s">
        <v>19</v>
      </c>
      <c r="Q129" s="2653" t="s">
        <v>22</v>
      </c>
      <c r="R129" s="2653" t="s">
        <v>22</v>
      </c>
      <c r="S129" s="2653" t="s">
        <v>22</v>
      </c>
      <c r="T129" s="2653" t="s">
        <v>22</v>
      </c>
      <c r="U129" s="2653" t="s">
        <v>22</v>
      </c>
      <c r="V129" s="2653" t="s">
        <v>22</v>
      </c>
      <c r="W129" s="2653" t="s">
        <v>22</v>
      </c>
      <c r="X129" s="2653" t="s">
        <v>22</v>
      </c>
      <c r="Y129" s="2653"/>
      <c r="Z129" s="1098"/>
      <c r="AA129" s="1099"/>
      <c r="AB129" s="1099"/>
      <c r="AC129" s="1103"/>
      <c r="AD129" s="1103"/>
      <c r="AE129" s="1104"/>
      <c r="AF129" s="2670"/>
      <c r="AG129" s="2656"/>
      <c r="AH129" s="2656"/>
      <c r="AI129" s="2658"/>
      <c r="AJ129" s="2656"/>
      <c r="AK129" s="2656"/>
      <c r="AL129" s="1902"/>
      <c r="AM129" s="1742"/>
      <c r="AN129" s="1742"/>
      <c r="AO129" s="1742"/>
      <c r="AP129" s="1742"/>
      <c r="AQ129" s="1742"/>
      <c r="AR129" s="1742"/>
      <c r="AS129" s="1742"/>
      <c r="AT129" s="1742"/>
      <c r="AU129" s="1742"/>
      <c r="AV129" s="1742"/>
      <c r="AW129" s="1742"/>
      <c r="AX129" s="1742"/>
      <c r="AY129" s="1742"/>
      <c r="AZ129" s="1742"/>
      <c r="BA129" s="1742"/>
      <c r="BB129" s="1742"/>
      <c r="BC129" s="1742"/>
      <c r="BD129" s="1742"/>
      <c r="BE129" s="1742"/>
      <c r="BF129" s="1742"/>
    </row>
    <row r="130" spans="1:59" ht="11.25" customHeight="1">
      <c r="A130" s="1089" t="s">
        <v>1161</v>
      </c>
      <c r="D130" s="1083"/>
      <c r="E130" s="1093"/>
      <c r="F130" s="2686"/>
      <c r="G130" s="2608"/>
      <c r="H130" s="2604" t="s">
        <v>94</v>
      </c>
      <c r="I130" s="2667"/>
      <c r="J130" s="2668"/>
      <c r="K130" s="2669"/>
      <c r="L130" s="2360"/>
      <c r="M130" s="2365"/>
      <c r="N130" s="2661"/>
      <c r="O130" s="2662"/>
      <c r="P130" s="2664"/>
      <c r="Q130" s="2653"/>
      <c r="R130" s="2653"/>
      <c r="S130" s="2666"/>
      <c r="T130" s="2653"/>
      <c r="U130" s="2653"/>
      <c r="V130" s="2653"/>
      <c r="W130" s="2653"/>
      <c r="X130" s="2653"/>
      <c r="Y130" s="2653"/>
      <c r="Z130" s="1747"/>
      <c r="AA130" s="1714">
        <v>1</v>
      </c>
      <c r="AB130" s="1102" t="s">
        <v>1206</v>
      </c>
      <c r="AC130" s="1092">
        <v>127814.62521</v>
      </c>
      <c r="AD130" s="1102" t="str">
        <f>AB130</f>
        <v xml:space="preserve">      Прочие амортизационные отчисления</v>
      </c>
      <c r="AE130" s="1092">
        <v>97126.3321</v>
      </c>
      <c r="AF130" s="2670"/>
      <c r="AG130" s="2656"/>
      <c r="AH130" s="2656"/>
      <c r="AI130" s="2658"/>
      <c r="AJ130" s="2656"/>
      <c r="AK130" s="2656"/>
      <c r="AL130" s="1902"/>
      <c r="AM130" s="1742"/>
      <c r="AN130" s="1742"/>
      <c r="AO130" s="1742"/>
      <c r="AP130" s="1742"/>
      <c r="AQ130" s="1742"/>
      <c r="AR130" s="1742"/>
      <c r="AS130" s="1742"/>
      <c r="AT130" s="1742"/>
      <c r="AU130" s="1742"/>
      <c r="AV130" s="1742"/>
      <c r="AW130" s="1742"/>
      <c r="AX130" s="1742"/>
      <c r="AY130" s="1742"/>
      <c r="AZ130" s="1742"/>
      <c r="BA130" s="1742"/>
      <c r="BB130" s="1742"/>
      <c r="BC130" s="1742"/>
      <c r="BD130" s="1742"/>
      <c r="BE130" s="1742"/>
      <c r="BF130" s="1742"/>
    </row>
    <row r="131" spans="1:59" ht="11.25" customHeight="1">
      <c r="A131" s="1089" t="s">
        <v>1161</v>
      </c>
      <c r="D131" s="1083"/>
      <c r="E131" s="1093"/>
      <c r="F131" s="2608"/>
      <c r="G131" s="2608"/>
      <c r="H131" s="2608"/>
      <c r="I131" s="2608"/>
      <c r="J131" s="2608"/>
      <c r="K131" s="2608"/>
      <c r="L131" s="2608"/>
      <c r="M131" s="2608"/>
      <c r="N131" s="2608"/>
      <c r="O131" s="2608"/>
      <c r="P131" s="2608"/>
      <c r="Q131" s="2608"/>
      <c r="R131" s="2608"/>
      <c r="S131" s="2608"/>
      <c r="T131" s="2608"/>
      <c r="U131" s="2608"/>
      <c r="V131" s="2608"/>
      <c r="W131" s="2608"/>
      <c r="X131" s="2608"/>
      <c r="Y131" s="2608"/>
      <c r="Z131" s="619" t="s">
        <v>104</v>
      </c>
      <c r="AA131" s="1734" t="s">
        <v>103</v>
      </c>
      <c r="AB131" s="1102" t="s">
        <v>1201</v>
      </c>
      <c r="AC131" s="1092">
        <v>34170.748650000001</v>
      </c>
      <c r="AD131" s="1102" t="str">
        <f>AB131</f>
        <v xml:space="preserve">  Прибыль направляемая на инвестиции</v>
      </c>
      <c r="AE131" s="1092">
        <v>32772.062279999998</v>
      </c>
      <c r="AF131" s="2671"/>
      <c r="AG131" s="2657"/>
      <c r="AH131" s="2657"/>
      <c r="AI131" s="2659"/>
      <c r="AJ131" s="2657"/>
      <c r="AK131" s="2660"/>
      <c r="AL131" s="1902"/>
      <c r="AM131" s="1742"/>
      <c r="AN131" s="1742"/>
      <c r="AO131" s="1742"/>
      <c r="AP131" s="1742"/>
      <c r="AQ131" s="1742"/>
      <c r="AR131" s="1742"/>
      <c r="AS131" s="1742"/>
      <c r="AT131" s="1742"/>
      <c r="AU131" s="1742"/>
      <c r="AV131" s="1742"/>
      <c r="AW131" s="1742"/>
      <c r="AX131" s="1742"/>
      <c r="AY131" s="1742"/>
      <c r="AZ131" s="1742"/>
      <c r="BA131" s="1742"/>
      <c r="BB131" s="1742"/>
      <c r="BC131" s="1742"/>
      <c r="BD131" s="1742"/>
      <c r="BE131" s="1742"/>
      <c r="BF131" s="1742"/>
    </row>
    <row r="132" spans="1:59" ht="11.25" customHeight="1">
      <c r="A132" s="1089" t="s">
        <v>1161</v>
      </c>
      <c r="D132" s="1083"/>
      <c r="E132" s="1093"/>
      <c r="F132" s="2686"/>
      <c r="G132" s="2608"/>
      <c r="H132" s="2604" t="s">
        <v>94</v>
      </c>
      <c r="I132" s="2667"/>
      <c r="J132" s="2668"/>
      <c r="K132" s="2669"/>
      <c r="L132" s="2360"/>
      <c r="M132" s="2365"/>
      <c r="N132" s="2661"/>
      <c r="O132" s="2662"/>
      <c r="P132" s="2665"/>
      <c r="Q132" s="2653"/>
      <c r="R132" s="2653"/>
      <c r="S132" s="2666"/>
      <c r="T132" s="2653"/>
      <c r="U132" s="2653"/>
      <c r="V132" s="2653"/>
      <c r="W132" s="2653"/>
      <c r="X132" s="2653"/>
      <c r="Y132" s="2653"/>
      <c r="Z132" s="1098"/>
      <c r="AA132" s="1099"/>
      <c r="AB132" s="1164" t="s">
        <v>1202</v>
      </c>
      <c r="AC132" s="1103"/>
      <c r="AD132" s="1103"/>
      <c r="AE132" s="1105"/>
      <c r="AF132" s="2670"/>
      <c r="AG132" s="2656"/>
      <c r="AH132" s="2656"/>
      <c r="AI132" s="2658"/>
      <c r="AJ132" s="2656"/>
      <c r="AK132" s="2656"/>
      <c r="AL132" s="1902"/>
      <c r="AM132" s="1742"/>
      <c r="AN132" s="1742"/>
      <c r="AO132" s="1742"/>
      <c r="AP132" s="1742"/>
      <c r="AQ132" s="1742"/>
      <c r="AR132" s="1742"/>
      <c r="AS132" s="1742"/>
      <c r="AT132" s="1742"/>
      <c r="AU132" s="1742"/>
      <c r="AV132" s="1742"/>
      <c r="AW132" s="1742"/>
      <c r="AX132" s="1742"/>
      <c r="AY132" s="1742"/>
      <c r="AZ132" s="1742"/>
      <c r="BA132" s="1742"/>
      <c r="BB132" s="1742"/>
      <c r="BC132" s="1742"/>
      <c r="BD132" s="1742"/>
      <c r="BE132" s="1742"/>
      <c r="BF132" s="1742"/>
    </row>
    <row r="133" spans="1:59" ht="11.25" customHeight="1">
      <c r="A133" s="1089" t="s">
        <v>1161</v>
      </c>
      <c r="D133" s="1083"/>
      <c r="E133" s="1093"/>
      <c r="F133" s="2686"/>
      <c r="G133" s="2608"/>
      <c r="H133" s="2604" t="s">
        <v>94</v>
      </c>
      <c r="I133" s="2667"/>
      <c r="J133" s="2668"/>
      <c r="K133" s="2669"/>
      <c r="L133" s="2360"/>
      <c r="M133" s="2365"/>
      <c r="N133" s="1098"/>
      <c r="O133" s="1099"/>
      <c r="P133" s="1091" t="s">
        <v>1203</v>
      </c>
      <c r="Q133" s="1099"/>
      <c r="R133" s="1099"/>
      <c r="S133" s="1099"/>
      <c r="T133" s="1099"/>
      <c r="U133" s="1099"/>
      <c r="V133" s="1099"/>
      <c r="W133" s="1099"/>
      <c r="X133" s="1099"/>
      <c r="Y133" s="1099"/>
      <c r="Z133" s="1099"/>
      <c r="AA133" s="1099"/>
      <c r="AB133" s="1099"/>
      <c r="AC133" s="1099"/>
      <c r="AD133" s="1099"/>
      <c r="AE133" s="1106"/>
      <c r="AF133" s="2670"/>
      <c r="AG133" s="2656"/>
      <c r="AH133" s="2656"/>
      <c r="AI133" s="2658"/>
      <c r="AJ133" s="2656"/>
      <c r="AK133" s="2656"/>
      <c r="AL133" s="1902"/>
      <c r="AM133" s="1742"/>
      <c r="AN133" s="1742"/>
      <c r="AO133" s="1742"/>
      <c r="AP133" s="1742"/>
      <c r="AQ133" s="1742"/>
      <c r="AR133" s="1742"/>
      <c r="AS133" s="1742"/>
      <c r="AT133" s="1742"/>
      <c r="AU133" s="1742"/>
      <c r="AV133" s="1742"/>
      <c r="AW133" s="1742"/>
      <c r="AX133" s="1742"/>
      <c r="AY133" s="1742"/>
      <c r="AZ133" s="1742"/>
      <c r="BA133" s="1742"/>
      <c r="BB133" s="1742"/>
      <c r="BC133" s="1742"/>
      <c r="BD133" s="1742"/>
      <c r="BE133" s="1742"/>
      <c r="BF133" s="1742"/>
    </row>
    <row r="134" spans="1:59" ht="12" customHeight="1">
      <c r="A134" s="1089" t="s">
        <v>1161</v>
      </c>
      <c r="D134" s="1083"/>
      <c r="E134" s="1093"/>
      <c r="F134" s="2675"/>
      <c r="G134" s="1113"/>
      <c r="H134" s="1113"/>
      <c r="I134" s="2673" t="s">
        <v>1193</v>
      </c>
      <c r="J134" s="2673"/>
      <c r="K134" s="2673"/>
      <c r="L134" s="1096"/>
      <c r="M134" s="1096"/>
      <c r="N134" s="1097"/>
      <c r="O134" s="1097"/>
      <c r="P134" s="1097"/>
      <c r="Q134" s="1097"/>
      <c r="R134" s="1097"/>
      <c r="S134" s="1097"/>
      <c r="T134" s="1097"/>
      <c r="U134" s="1097"/>
      <c r="V134" s="1097"/>
      <c r="W134" s="1097"/>
      <c r="X134" s="1097"/>
      <c r="Y134" s="1097"/>
      <c r="Z134" s="1097"/>
      <c r="AA134" s="1097"/>
      <c r="AB134" s="1097"/>
      <c r="AC134" s="1097"/>
      <c r="AD134" s="1097"/>
      <c r="AE134" s="1097"/>
      <c r="AF134" s="1097"/>
      <c r="AG134" s="1096"/>
      <c r="AH134" s="1096"/>
      <c r="AI134" s="1097"/>
      <c r="AJ134" s="1096"/>
      <c r="AK134" s="1097"/>
      <c r="AL134" s="1902"/>
      <c r="AM134" s="1742"/>
      <c r="AN134" s="1742"/>
      <c r="AO134" s="1742"/>
      <c r="AP134" s="1742"/>
      <c r="AQ134" s="1742"/>
      <c r="AR134" s="1742"/>
      <c r="AS134" s="1742"/>
      <c r="AT134" s="1742"/>
      <c r="AU134" s="1742"/>
      <c r="AV134" s="1742"/>
      <c r="AW134" s="1742"/>
      <c r="AX134" s="1742"/>
      <c r="AY134" s="1742"/>
      <c r="AZ134" s="1742"/>
      <c r="BA134" s="1742"/>
      <c r="BB134" s="1742"/>
      <c r="BC134" s="1742"/>
      <c r="BD134" s="1742"/>
      <c r="BE134" s="1742"/>
      <c r="BF134" s="1742"/>
    </row>
    <row r="135" spans="1:59" ht="0.75" customHeight="1">
      <c r="A135" s="1089" t="s">
        <v>1161</v>
      </c>
      <c r="D135" s="1083"/>
      <c r="E135" s="1093"/>
      <c r="F135" s="2674">
        <v>2026</v>
      </c>
      <c r="G135" s="2604"/>
      <c r="H135" s="2679" t="s">
        <v>395</v>
      </c>
      <c r="I135" s="2680"/>
      <c r="J135" s="2678"/>
      <c r="K135" s="2678"/>
      <c r="L135" s="2677"/>
      <c r="M135" s="2512"/>
      <c r="N135" s="1950"/>
      <c r="O135" s="1949"/>
      <c r="P135" s="1950"/>
      <c r="Q135" s="1950"/>
      <c r="R135" s="1950"/>
      <c r="S135" s="1950"/>
      <c r="T135" s="1950"/>
      <c r="U135" s="1950"/>
      <c r="V135" s="1950"/>
      <c r="W135" s="1950"/>
      <c r="X135" s="1950"/>
      <c r="Y135" s="1950"/>
      <c r="Z135" s="1950"/>
      <c r="AA135" s="1950"/>
      <c r="AB135" s="1950"/>
      <c r="AC135" s="1950"/>
      <c r="AD135" s="1950"/>
      <c r="AE135" s="1950"/>
      <c r="AF135" s="2676"/>
      <c r="AG135" s="2677"/>
      <c r="AH135" s="2677"/>
      <c r="AI135" s="2676"/>
      <c r="AJ135" s="2677"/>
      <c r="AK135" s="2677"/>
      <c r="AL135" s="1902"/>
      <c r="AM135" s="1742"/>
      <c r="AN135" s="1742"/>
      <c r="AO135" s="1742"/>
      <c r="AP135" s="1742"/>
      <c r="AQ135" s="1742"/>
      <c r="AR135" s="1742"/>
      <c r="AS135" s="1742"/>
      <c r="AT135" s="1742"/>
      <c r="AU135" s="1742"/>
      <c r="AV135" s="1742"/>
      <c r="AW135" s="1742"/>
      <c r="AX135" s="1742"/>
      <c r="AY135" s="1742"/>
      <c r="AZ135" s="1742"/>
      <c r="BA135" s="1742"/>
      <c r="BB135" s="1742"/>
      <c r="BC135" s="1742"/>
      <c r="BD135" s="1742"/>
      <c r="BE135" s="1742"/>
      <c r="BF135" s="1742"/>
    </row>
    <row r="136" spans="1:59" ht="0.75" customHeight="1">
      <c r="A136" s="1089" t="s">
        <v>1161</v>
      </c>
      <c r="D136" s="1083"/>
      <c r="E136" s="1093"/>
      <c r="F136" s="2674"/>
      <c r="G136" s="2604"/>
      <c r="H136" s="2679"/>
      <c r="I136" s="2680"/>
      <c r="J136" s="2678"/>
      <c r="K136" s="2678"/>
      <c r="L136" s="2677"/>
      <c r="M136" s="2512"/>
      <c r="N136" s="2681"/>
      <c r="O136" s="2682"/>
      <c r="P136" s="2683"/>
      <c r="Q136" s="2678"/>
      <c r="R136" s="2678"/>
      <c r="S136" s="2678"/>
      <c r="T136" s="2678"/>
      <c r="U136" s="2678"/>
      <c r="V136" s="2678"/>
      <c r="W136" s="2678"/>
      <c r="X136" s="2678"/>
      <c r="Y136" s="2678"/>
      <c r="Z136" s="1951"/>
      <c r="AA136" s="1952"/>
      <c r="AB136" s="1952"/>
      <c r="AC136" s="1953"/>
      <c r="AD136" s="1953"/>
      <c r="AE136" s="1954"/>
      <c r="AF136" s="2676"/>
      <c r="AG136" s="2677"/>
      <c r="AH136" s="2677"/>
      <c r="AI136" s="2676"/>
      <c r="AJ136" s="2677"/>
      <c r="AK136" s="2677"/>
      <c r="AL136" s="1902"/>
      <c r="AM136" s="1742"/>
      <c r="AN136" s="1742"/>
      <c r="AO136" s="1742"/>
      <c r="AP136" s="1742"/>
      <c r="AQ136" s="1742"/>
      <c r="AR136" s="1742"/>
      <c r="AS136" s="1742"/>
      <c r="AT136" s="1742"/>
      <c r="AU136" s="1742"/>
      <c r="AV136" s="1742"/>
      <c r="AW136" s="1742"/>
      <c r="AX136" s="1742"/>
      <c r="AY136" s="1742"/>
      <c r="AZ136" s="1742"/>
      <c r="BA136" s="1742"/>
      <c r="BB136" s="1742"/>
      <c r="BC136" s="1742"/>
      <c r="BD136" s="1742"/>
      <c r="BE136" s="1742"/>
      <c r="BF136" s="1742"/>
    </row>
    <row r="137" spans="1:59" ht="0.75" customHeight="1">
      <c r="A137" s="1089" t="s">
        <v>1161</v>
      </c>
      <c r="D137" s="1083"/>
      <c r="E137" s="1093"/>
      <c r="F137" s="2674"/>
      <c r="G137" s="2604"/>
      <c r="H137" s="2679"/>
      <c r="I137" s="2680"/>
      <c r="J137" s="2678"/>
      <c r="K137" s="2678"/>
      <c r="L137" s="2677"/>
      <c r="M137" s="2512"/>
      <c r="N137" s="2681"/>
      <c r="O137" s="2682"/>
      <c r="P137" s="2684"/>
      <c r="Q137" s="2678"/>
      <c r="R137" s="2678"/>
      <c r="S137" s="2678"/>
      <c r="T137" s="2678"/>
      <c r="U137" s="2678"/>
      <c r="V137" s="2678"/>
      <c r="W137" s="2678"/>
      <c r="X137" s="2678"/>
      <c r="Y137" s="2678"/>
      <c r="Z137" s="1955"/>
      <c r="AA137" s="1956"/>
      <c r="AB137" s="1957"/>
      <c r="AC137" s="1958"/>
      <c r="AD137" s="1957"/>
      <c r="AE137" s="1958"/>
      <c r="AF137" s="2676"/>
      <c r="AG137" s="2677"/>
      <c r="AH137" s="2677"/>
      <c r="AI137" s="2676"/>
      <c r="AJ137" s="2677"/>
      <c r="AK137" s="2677"/>
      <c r="AL137" s="1902"/>
      <c r="AM137" s="1742"/>
      <c r="AN137" s="1742"/>
      <c r="AO137" s="1742"/>
      <c r="AP137" s="1742"/>
      <c r="AQ137" s="1742"/>
      <c r="AR137" s="1742"/>
      <c r="AS137" s="1742"/>
      <c r="AT137" s="1742"/>
      <c r="AU137" s="1742"/>
      <c r="AV137" s="1742"/>
      <c r="AW137" s="1742"/>
      <c r="AX137" s="1742"/>
      <c r="AY137" s="1742"/>
      <c r="AZ137" s="1742"/>
      <c r="BA137" s="1742"/>
      <c r="BB137" s="1742"/>
      <c r="BC137" s="1742"/>
      <c r="BD137" s="1742"/>
      <c r="BE137" s="1742"/>
      <c r="BF137" s="1742"/>
    </row>
    <row r="138" spans="1:59" ht="0.75" customHeight="1">
      <c r="A138" s="1089" t="s">
        <v>1161</v>
      </c>
      <c r="D138" s="1083"/>
      <c r="E138" s="1093"/>
      <c r="F138" s="2674"/>
      <c r="G138" s="2604"/>
      <c r="H138" s="2679"/>
      <c r="I138" s="2680"/>
      <c r="J138" s="2678"/>
      <c r="K138" s="2678"/>
      <c r="L138" s="2677"/>
      <c r="M138" s="2512"/>
      <c r="N138" s="2681"/>
      <c r="O138" s="2682"/>
      <c r="P138" s="2685"/>
      <c r="Q138" s="2678"/>
      <c r="R138" s="2678"/>
      <c r="S138" s="2678"/>
      <c r="T138" s="2678"/>
      <c r="U138" s="2678"/>
      <c r="V138" s="2678"/>
      <c r="W138" s="2678"/>
      <c r="X138" s="2678"/>
      <c r="Y138" s="2678"/>
      <c r="Z138" s="1951"/>
      <c r="AA138" s="1952"/>
      <c r="AB138" s="1959"/>
      <c r="AC138" s="1953"/>
      <c r="AD138" s="1953"/>
      <c r="AE138" s="1960"/>
      <c r="AF138" s="2676"/>
      <c r="AG138" s="2677"/>
      <c r="AH138" s="2677"/>
      <c r="AI138" s="2676"/>
      <c r="AJ138" s="2677"/>
      <c r="AK138" s="2677"/>
      <c r="AL138" s="1902"/>
      <c r="AM138" s="1742"/>
      <c r="AN138" s="1742"/>
      <c r="AO138" s="1742"/>
      <c r="AP138" s="1742"/>
      <c r="AQ138" s="1742"/>
      <c r="AR138" s="1742"/>
      <c r="AS138" s="1742"/>
      <c r="AT138" s="1742"/>
      <c r="AU138" s="1742"/>
      <c r="AV138" s="1742"/>
      <c r="AW138" s="1742"/>
      <c r="AX138" s="1742"/>
      <c r="AY138" s="1742"/>
      <c r="AZ138" s="1742"/>
      <c r="BA138" s="1742"/>
      <c r="BB138" s="1742"/>
      <c r="BC138" s="1742"/>
      <c r="BD138" s="1742"/>
      <c r="BE138" s="1742"/>
      <c r="BF138" s="1742"/>
    </row>
    <row r="139" spans="1:59" ht="0.75" customHeight="1">
      <c r="A139" s="1089" t="s">
        <v>1161</v>
      </c>
      <c r="D139" s="1083"/>
      <c r="E139" s="1093"/>
      <c r="F139" s="2674"/>
      <c r="G139" s="2604"/>
      <c r="H139" s="2679"/>
      <c r="I139" s="2680"/>
      <c r="J139" s="2678"/>
      <c r="K139" s="2678"/>
      <c r="L139" s="2677"/>
      <c r="M139" s="2512"/>
      <c r="N139" s="1952"/>
      <c r="O139" s="1952"/>
      <c r="P139" s="1959"/>
      <c r="Q139" s="1952"/>
      <c r="R139" s="1952"/>
      <c r="S139" s="1952"/>
      <c r="T139" s="1952"/>
      <c r="U139" s="1952"/>
      <c r="V139" s="1952"/>
      <c r="W139" s="1952"/>
      <c r="X139" s="1952"/>
      <c r="Y139" s="1952"/>
      <c r="Z139" s="1952"/>
      <c r="AA139" s="1952"/>
      <c r="AB139" s="1952"/>
      <c r="AC139" s="1952"/>
      <c r="AD139" s="1952"/>
      <c r="AE139" s="1961"/>
      <c r="AF139" s="2676"/>
      <c r="AG139" s="2677"/>
      <c r="AH139" s="2677"/>
      <c r="AI139" s="2676"/>
      <c r="AJ139" s="2677"/>
      <c r="AK139" s="2677"/>
      <c r="AL139" s="1902"/>
      <c r="AM139" s="1742"/>
      <c r="AN139" s="1742"/>
      <c r="AO139" s="1742"/>
      <c r="AP139" s="1742"/>
      <c r="AQ139" s="1742"/>
      <c r="AR139" s="1742"/>
      <c r="AS139" s="1742"/>
      <c r="AT139" s="1742"/>
      <c r="AU139" s="1742"/>
      <c r="AV139" s="1742"/>
      <c r="AW139" s="1742"/>
      <c r="AX139" s="1742"/>
      <c r="AY139" s="1742"/>
      <c r="AZ139" s="1742"/>
      <c r="BA139" s="1742"/>
      <c r="BB139" s="1742"/>
      <c r="BC139" s="1742"/>
      <c r="BD139" s="1742"/>
      <c r="BE139" s="1742"/>
      <c r="BF139" s="1742"/>
    </row>
    <row r="140" spans="1:59" ht="12" customHeight="1">
      <c r="A140" s="1089" t="s">
        <v>1161</v>
      </c>
      <c r="D140" s="1083"/>
      <c r="E140" s="1093"/>
      <c r="F140" s="2675"/>
      <c r="G140" s="1113"/>
      <c r="H140" s="1113"/>
      <c r="I140" s="2673" t="s">
        <v>1193</v>
      </c>
      <c r="J140" s="2673"/>
      <c r="K140" s="2673"/>
      <c r="L140" s="1096"/>
      <c r="M140" s="1096"/>
      <c r="N140" s="1097"/>
      <c r="O140" s="1097"/>
      <c r="P140" s="1097"/>
      <c r="Q140" s="1097"/>
      <c r="R140" s="1097"/>
      <c r="S140" s="1097"/>
      <c r="T140" s="1097"/>
      <c r="U140" s="1097"/>
      <c r="V140" s="1097"/>
      <c r="W140" s="1097"/>
      <c r="X140" s="1097"/>
      <c r="Y140" s="1097"/>
      <c r="Z140" s="1097"/>
      <c r="AA140" s="1097"/>
      <c r="AB140" s="1097"/>
      <c r="AC140" s="1097"/>
      <c r="AD140" s="1097"/>
      <c r="AE140" s="1097"/>
      <c r="AF140" s="1097"/>
      <c r="AG140" s="1096"/>
      <c r="AH140" s="1096"/>
      <c r="AI140" s="1097"/>
      <c r="AJ140" s="1096"/>
      <c r="AK140" s="1097"/>
      <c r="AL140" s="1902"/>
      <c r="AM140" s="1742"/>
      <c r="AN140" s="1742"/>
      <c r="AO140" s="1742"/>
      <c r="AP140" s="1742"/>
      <c r="AQ140" s="1742"/>
      <c r="AR140" s="1742"/>
      <c r="AS140" s="1742"/>
      <c r="AT140" s="1742"/>
      <c r="AU140" s="1742"/>
      <c r="AV140" s="1742"/>
      <c r="AW140" s="1742"/>
      <c r="AX140" s="1742"/>
      <c r="AY140" s="1742"/>
      <c r="AZ140" s="1742"/>
      <c r="BA140" s="1742"/>
      <c r="BB140" s="1742"/>
      <c r="BC140" s="1742"/>
      <c r="BD140" s="1742"/>
      <c r="BE140" s="1742"/>
      <c r="BF140" s="1742"/>
    </row>
    <row r="141" spans="1:59" ht="10.5" customHeight="1">
      <c r="E141" s="835"/>
      <c r="F141" s="846"/>
      <c r="G141" s="846"/>
      <c r="H141" s="1095"/>
      <c r="I141" s="846"/>
      <c r="J141" s="846"/>
      <c r="K141" s="846"/>
      <c r="L141" s="1055"/>
      <c r="M141" s="1055"/>
      <c r="N141" s="846"/>
      <c r="O141" s="846"/>
      <c r="P141" s="846"/>
      <c r="Q141" s="846"/>
      <c r="R141" s="846"/>
      <c r="S141" s="846"/>
      <c r="T141" s="846"/>
      <c r="U141" s="846"/>
      <c r="V141" s="846"/>
      <c r="W141" s="846"/>
      <c r="X141" s="846"/>
      <c r="Y141" s="846"/>
      <c r="Z141" s="846"/>
      <c r="AA141" s="846"/>
      <c r="AB141" s="846"/>
      <c r="AC141" s="846"/>
      <c r="AD141" s="1055"/>
      <c r="AE141" s="846"/>
      <c r="AF141" s="846"/>
      <c r="AG141" s="846"/>
      <c r="AH141" s="1073"/>
      <c r="AI141" s="1066"/>
      <c r="AJ141" s="846"/>
      <c r="AK141" s="846"/>
      <c r="AL141" s="835"/>
      <c r="AM141" s="835"/>
      <c r="AN141" s="835"/>
      <c r="AO141" s="835"/>
      <c r="AP141" s="835"/>
      <c r="AQ141" s="835"/>
      <c r="AR141" s="835"/>
      <c r="AS141" s="835"/>
      <c r="AT141" s="835"/>
      <c r="AU141" s="835"/>
      <c r="AV141" s="835"/>
      <c r="AW141" s="835"/>
      <c r="AX141" s="835"/>
      <c r="AY141" s="835"/>
      <c r="AZ141" s="835"/>
      <c r="BA141" s="835"/>
      <c r="BB141" s="835"/>
      <c r="BC141" s="835"/>
      <c r="BD141" s="835"/>
      <c r="BE141" s="835"/>
      <c r="BF141" s="835"/>
      <c r="BG141" s="691">
        <v>10</v>
      </c>
    </row>
    <row r="142" spans="1:59" ht="13.5" customHeight="1">
      <c r="E142" s="835"/>
      <c r="F142" s="842" t="s">
        <v>1219</v>
      </c>
      <c r="G142" s="842"/>
      <c r="H142" s="1094"/>
      <c r="I142" s="842"/>
      <c r="J142" s="842"/>
      <c r="K142" s="839"/>
      <c r="L142" s="1051"/>
      <c r="M142" s="1051"/>
      <c r="N142" s="841"/>
      <c r="O142" s="841"/>
      <c r="P142" s="841"/>
      <c r="Q142" s="841"/>
      <c r="R142" s="841"/>
      <c r="S142" s="841"/>
      <c r="T142" s="841"/>
      <c r="U142" s="841"/>
      <c r="V142" s="841"/>
      <c r="W142" s="841"/>
      <c r="X142" s="841"/>
      <c r="Y142" s="841"/>
      <c r="Z142" s="839"/>
      <c r="AA142" s="839"/>
      <c r="AB142" s="839"/>
      <c r="AC142" s="839"/>
      <c r="AD142" s="1051"/>
      <c r="AE142" s="839"/>
      <c r="AF142" s="839"/>
      <c r="AG142" s="839"/>
      <c r="AH142" s="1070"/>
      <c r="AI142" s="1063"/>
      <c r="AJ142" s="839"/>
      <c r="AK142" s="839"/>
      <c r="AL142" s="835"/>
      <c r="AM142" s="835"/>
      <c r="AN142" s="835"/>
      <c r="AO142" s="835"/>
      <c r="AP142" s="835"/>
      <c r="AQ142" s="835"/>
      <c r="AR142" s="835"/>
      <c r="AS142" s="835"/>
      <c r="AT142" s="835"/>
      <c r="AU142" s="835"/>
      <c r="AV142" s="835"/>
      <c r="AW142" s="835"/>
      <c r="AX142" s="835"/>
      <c r="AY142" s="835"/>
      <c r="AZ142" s="835"/>
      <c r="BA142" s="835"/>
      <c r="BB142" s="835"/>
      <c r="BC142" s="835"/>
      <c r="BD142" s="835"/>
      <c r="BE142" s="835"/>
      <c r="BF142" s="835"/>
      <c r="BG142" s="691">
        <v>13</v>
      </c>
    </row>
    <row r="143" spans="1:59" ht="10.5" customHeight="1">
      <c r="BG143" s="691">
        <v>10</v>
      </c>
    </row>
    <row r="144" spans="1:59" ht="10.5" customHeight="1">
      <c r="E144" s="835"/>
      <c r="F144" s="2690"/>
      <c r="G144" s="2690"/>
      <c r="H144" s="2690"/>
      <c r="I144" s="2690"/>
      <c r="J144" s="2690"/>
      <c r="K144" s="839"/>
      <c r="L144" s="1051"/>
      <c r="M144" s="1051"/>
      <c r="N144" s="841"/>
      <c r="O144" s="841"/>
      <c r="P144" s="841"/>
      <c r="Q144" s="841"/>
      <c r="R144" s="841"/>
      <c r="S144" s="841"/>
      <c r="T144" s="841"/>
      <c r="U144" s="841"/>
      <c r="V144" s="841"/>
      <c r="W144" s="841"/>
      <c r="X144" s="841"/>
      <c r="Y144" s="841"/>
      <c r="Z144" s="839"/>
      <c r="AA144" s="839"/>
      <c r="AB144" s="839"/>
      <c r="AC144" s="839"/>
      <c r="AD144" s="1051"/>
      <c r="AE144" s="839"/>
      <c r="AF144" s="839"/>
      <c r="AG144" s="839"/>
      <c r="AH144" s="1070"/>
      <c r="AI144" s="1063"/>
      <c r="AJ144" s="839"/>
      <c r="AK144" s="839"/>
      <c r="AL144" s="835"/>
      <c r="AM144" s="835"/>
      <c r="AN144" s="835"/>
      <c r="AO144" s="835"/>
      <c r="AP144" s="835"/>
      <c r="AQ144" s="835"/>
      <c r="AR144" s="835"/>
      <c r="AS144" s="835"/>
      <c r="AT144" s="835"/>
      <c r="AU144" s="835"/>
      <c r="AV144" s="835"/>
      <c r="AW144" s="835"/>
      <c r="AX144" s="835"/>
      <c r="AY144" s="835"/>
      <c r="AZ144" s="835"/>
      <c r="BA144" s="835"/>
      <c r="BB144" s="835"/>
      <c r="BC144" s="835"/>
      <c r="BD144" s="835"/>
      <c r="BE144" s="835"/>
      <c r="BF144" s="835"/>
      <c r="BG144" s="691">
        <v>10</v>
      </c>
    </row>
    <row r="145" spans="1:59" ht="10.5" customHeight="1">
      <c r="E145" s="835"/>
      <c r="F145" s="2690"/>
      <c r="G145" s="2690"/>
      <c r="H145" s="2690"/>
      <c r="I145" s="2690"/>
      <c r="J145" s="2690"/>
      <c r="K145" s="839"/>
      <c r="L145" s="1051"/>
      <c r="M145" s="1051"/>
      <c r="N145" s="841"/>
      <c r="O145" s="841"/>
      <c r="P145" s="841"/>
      <c r="Q145" s="841"/>
      <c r="R145" s="841"/>
      <c r="S145" s="841"/>
      <c r="T145" s="841"/>
      <c r="U145" s="841"/>
      <c r="V145" s="841"/>
      <c r="W145" s="841"/>
      <c r="X145" s="841"/>
      <c r="Y145" s="841"/>
      <c r="Z145" s="839"/>
      <c r="AA145" s="839"/>
      <c r="AB145" s="839"/>
      <c r="AC145" s="839"/>
      <c r="AD145" s="1051"/>
      <c r="AE145" s="839"/>
      <c r="AF145" s="839"/>
      <c r="AG145" s="839"/>
      <c r="AH145" s="1070"/>
      <c r="AI145" s="1063"/>
      <c r="AJ145" s="839"/>
      <c r="AK145" s="839"/>
      <c r="AL145" s="835"/>
      <c r="AM145" s="835"/>
      <c r="AN145" s="835"/>
      <c r="AO145" s="835"/>
      <c r="AP145" s="835"/>
      <c r="AQ145" s="835"/>
      <c r="AR145" s="835"/>
      <c r="AS145" s="835"/>
      <c r="AT145" s="835"/>
      <c r="AU145" s="835"/>
      <c r="AV145" s="835"/>
      <c r="AW145" s="835"/>
      <c r="AX145" s="835"/>
      <c r="AY145" s="835"/>
      <c r="AZ145" s="835"/>
      <c r="BA145" s="835"/>
      <c r="BB145" s="835"/>
      <c r="BC145" s="835"/>
      <c r="BD145" s="835"/>
      <c r="BE145" s="835"/>
      <c r="BF145" s="835"/>
      <c r="BG145" s="691">
        <v>10</v>
      </c>
    </row>
    <row r="146" spans="1:59" ht="10.5" customHeight="1">
      <c r="E146" s="835"/>
      <c r="F146" s="2690"/>
      <c r="G146" s="2690"/>
      <c r="H146" s="2690"/>
      <c r="I146" s="2690"/>
      <c r="J146" s="2690"/>
      <c r="K146" s="839"/>
      <c r="L146" s="1051"/>
      <c r="M146" s="1051"/>
      <c r="N146" s="841"/>
      <c r="O146" s="841"/>
      <c r="P146" s="841"/>
      <c r="Q146" s="841"/>
      <c r="R146" s="841"/>
      <c r="S146" s="841"/>
      <c r="T146" s="841"/>
      <c r="U146" s="841"/>
      <c r="V146" s="841"/>
      <c r="W146" s="841"/>
      <c r="X146" s="841"/>
      <c r="Y146" s="841"/>
      <c r="Z146" s="839"/>
      <c r="AA146" s="839"/>
      <c r="AB146" s="839"/>
      <c r="AC146" s="839"/>
      <c r="AD146" s="1051"/>
      <c r="AE146" s="839"/>
      <c r="AF146" s="839"/>
      <c r="AG146" s="839"/>
      <c r="AH146" s="1070"/>
      <c r="AI146" s="1063"/>
      <c r="AJ146" s="839"/>
      <c r="AK146" s="839"/>
      <c r="AL146" s="835"/>
      <c r="AM146" s="835"/>
      <c r="AN146" s="835"/>
      <c r="AO146" s="835"/>
      <c r="AP146" s="835"/>
      <c r="AQ146" s="835"/>
      <c r="AR146" s="835"/>
      <c r="AS146" s="835"/>
      <c r="AT146" s="835"/>
      <c r="AU146" s="835"/>
      <c r="AV146" s="835"/>
      <c r="AW146" s="835"/>
      <c r="AX146" s="835"/>
      <c r="AY146" s="835"/>
      <c r="AZ146" s="835"/>
      <c r="BA146" s="835"/>
      <c r="BB146" s="835"/>
      <c r="BC146" s="835"/>
      <c r="BD146" s="835"/>
      <c r="BE146" s="835"/>
      <c r="BF146" s="835"/>
      <c r="BG146" s="691">
        <v>10</v>
      </c>
    </row>
    <row r="147" spans="1:59" ht="10.5" hidden="1" customHeight="1">
      <c r="A147" s="823" t="s">
        <v>83</v>
      </c>
      <c r="B147" s="823">
        <v>0</v>
      </c>
      <c r="C147" s="823">
        <v>0</v>
      </c>
      <c r="D147" s="353">
        <v>0</v>
      </c>
      <c r="E147" s="445">
        <v>3</v>
      </c>
      <c r="F147" s="691">
        <v>14</v>
      </c>
      <c r="G147" s="691">
        <v>3</v>
      </c>
      <c r="H147" s="1078">
        <v>7</v>
      </c>
      <c r="I147" s="691">
        <v>16</v>
      </c>
      <c r="J147" s="691">
        <v>16</v>
      </c>
      <c r="K147" s="691">
        <v>25</v>
      </c>
      <c r="L147" s="1049">
        <v>7</v>
      </c>
      <c r="M147" s="1049">
        <v>15</v>
      </c>
      <c r="N147" s="691">
        <v>3</v>
      </c>
      <c r="O147" s="691">
        <v>4</v>
      </c>
      <c r="P147" s="691">
        <v>8</v>
      </c>
      <c r="Q147" s="691">
        <v>21</v>
      </c>
      <c r="R147" s="691">
        <v>14</v>
      </c>
      <c r="S147" s="691">
        <v>17</v>
      </c>
      <c r="T147" s="691">
        <v>17</v>
      </c>
      <c r="U147" s="691">
        <v>9</v>
      </c>
      <c r="V147" s="691">
        <v>12</v>
      </c>
      <c r="W147" s="691">
        <v>9</v>
      </c>
      <c r="X147" s="691">
        <v>21</v>
      </c>
      <c r="Y147" s="691">
        <v>12</v>
      </c>
      <c r="Z147" s="691">
        <v>3</v>
      </c>
      <c r="AA147" s="691">
        <v>6</v>
      </c>
      <c r="AB147" s="691">
        <v>38</v>
      </c>
      <c r="AC147" s="691">
        <v>15</v>
      </c>
      <c r="AD147" s="1049">
        <v>0</v>
      </c>
      <c r="AE147" s="691">
        <v>0</v>
      </c>
      <c r="AF147" s="691">
        <v>16</v>
      </c>
      <c r="AG147" s="691">
        <v>16</v>
      </c>
      <c r="AH147" s="1068">
        <v>16</v>
      </c>
      <c r="AI147" s="1061">
        <v>0</v>
      </c>
      <c r="AJ147" s="691">
        <v>0</v>
      </c>
      <c r="AK147" s="691">
        <v>0</v>
      </c>
      <c r="AL147" s="691">
        <v>8</v>
      </c>
      <c r="AM147" s="691">
        <v>8</v>
      </c>
      <c r="AN147" s="691">
        <v>8</v>
      </c>
      <c r="AO147" s="691">
        <v>8</v>
      </c>
      <c r="AP147" s="691">
        <v>8</v>
      </c>
      <c r="AQ147" s="691">
        <v>8</v>
      </c>
      <c r="AR147" s="691">
        <v>8</v>
      </c>
      <c r="AS147" s="691">
        <v>8</v>
      </c>
      <c r="AT147" s="691">
        <v>8</v>
      </c>
      <c r="AU147" s="691">
        <v>8</v>
      </c>
      <c r="AV147" s="691">
        <v>8</v>
      </c>
      <c r="AW147" s="691">
        <v>8</v>
      </c>
      <c r="AX147" s="691">
        <v>8</v>
      </c>
      <c r="AY147" s="691">
        <v>8</v>
      </c>
      <c r="AZ147" s="691">
        <v>8</v>
      </c>
      <c r="BA147" s="691">
        <v>8</v>
      </c>
      <c r="BB147" s="691">
        <v>8</v>
      </c>
      <c r="BC147" s="691">
        <v>8</v>
      </c>
      <c r="BD147" s="691">
        <v>8</v>
      </c>
      <c r="BE147" s="691">
        <v>8</v>
      </c>
      <c r="BF147" s="691">
        <v>8</v>
      </c>
      <c r="BG147" s="691">
        <v>10</v>
      </c>
    </row>
  </sheetData>
  <sheetProtection formatColumns="0" formatRows="0" insertRows="0" deleteColumns="0" deleteRows="0" sort="0" autoFilter="0"/>
  <mergeCells count="579">
    <mergeCell ref="Q22:Q24"/>
    <mergeCell ref="R22:R24"/>
    <mergeCell ref="G21:G25"/>
    <mergeCell ref="P28:P30"/>
    <mergeCell ref="Q28:Q30"/>
    <mergeCell ref="R28:R30"/>
    <mergeCell ref="G27:G31"/>
    <mergeCell ref="F146:J146"/>
    <mergeCell ref="F9:F12"/>
    <mergeCell ref="G9:H12"/>
    <mergeCell ref="F145:J145"/>
    <mergeCell ref="F144:J144"/>
    <mergeCell ref="L15:L19"/>
    <mergeCell ref="M15:M19"/>
    <mergeCell ref="N16:N18"/>
    <mergeCell ref="O16:O18"/>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AB9:AE10"/>
    <mergeCell ref="S11:Y11"/>
    <mergeCell ref="N10:Y10"/>
    <mergeCell ref="K9:Y9"/>
    <mergeCell ref="N11:O12"/>
    <mergeCell ref="P11:P12"/>
    <mergeCell ref="Q11:Q12"/>
    <mergeCell ref="F5:K5"/>
    <mergeCell ref="P16:P18"/>
    <mergeCell ref="Q16:Q18"/>
    <mergeCell ref="R16:R18"/>
    <mergeCell ref="G15:G19"/>
    <mergeCell ref="AJ15:AJ19"/>
    <mergeCell ref="AK15:AK19"/>
    <mergeCell ref="I20:K20"/>
    <mergeCell ref="F15:F20"/>
    <mergeCell ref="AF15:AF19"/>
    <mergeCell ref="AG15:AG19"/>
    <mergeCell ref="AH15:AH19"/>
    <mergeCell ref="AI15:AI19"/>
    <mergeCell ref="S16:S18"/>
    <mergeCell ref="T16:T18"/>
    <mergeCell ref="U16:U18"/>
    <mergeCell ref="V16:V18"/>
    <mergeCell ref="W16:W18"/>
    <mergeCell ref="X16:X18"/>
    <mergeCell ref="Y16:Y18"/>
    <mergeCell ref="H15:H19"/>
    <mergeCell ref="I15:I19"/>
    <mergeCell ref="J15:J19"/>
    <mergeCell ref="K15:K19"/>
    <mergeCell ref="AJ21:AJ25"/>
    <mergeCell ref="AK21:AK25"/>
    <mergeCell ref="I26:K26"/>
    <mergeCell ref="F21:F26"/>
    <mergeCell ref="AF21:AF25"/>
    <mergeCell ref="AG21:AG25"/>
    <mergeCell ref="AH21:AH25"/>
    <mergeCell ref="AI21:AI25"/>
    <mergeCell ref="S22:S24"/>
    <mergeCell ref="T22:T24"/>
    <mergeCell ref="U22:U24"/>
    <mergeCell ref="V22:V24"/>
    <mergeCell ref="W22:W24"/>
    <mergeCell ref="X22:X24"/>
    <mergeCell ref="Y22:Y24"/>
    <mergeCell ref="H21:H25"/>
    <mergeCell ref="I21:I25"/>
    <mergeCell ref="J21:J25"/>
    <mergeCell ref="K21:K25"/>
    <mergeCell ref="L21:L25"/>
    <mergeCell ref="M21:M25"/>
    <mergeCell ref="N22:N24"/>
    <mergeCell ref="O22:O24"/>
    <mergeCell ref="P22:P24"/>
    <mergeCell ref="AJ27:AJ31"/>
    <mergeCell ref="AK27:AK31"/>
    <mergeCell ref="I32:K32"/>
    <mergeCell ref="F27:F32"/>
    <mergeCell ref="AF27:AF31"/>
    <mergeCell ref="AG27:AG31"/>
    <mergeCell ref="AH27:AH31"/>
    <mergeCell ref="AI27:AI31"/>
    <mergeCell ref="S28:S30"/>
    <mergeCell ref="T28:T30"/>
    <mergeCell ref="U28:U30"/>
    <mergeCell ref="V28:V30"/>
    <mergeCell ref="W28:W30"/>
    <mergeCell ref="X28:X30"/>
    <mergeCell ref="Y28:Y30"/>
    <mergeCell ref="H27:H31"/>
    <mergeCell ref="I27:I31"/>
    <mergeCell ref="J27:J31"/>
    <mergeCell ref="K27:K31"/>
    <mergeCell ref="L27:L31"/>
    <mergeCell ref="M27:M31"/>
    <mergeCell ref="N28:N30"/>
    <mergeCell ref="O28:O30"/>
    <mergeCell ref="F33:F38"/>
    <mergeCell ref="AF33:AF37"/>
    <mergeCell ref="AG33:AG37"/>
    <mergeCell ref="AH33:AH37"/>
    <mergeCell ref="AI33:AI37"/>
    <mergeCell ref="S34:S36"/>
    <mergeCell ref="T34:T36"/>
    <mergeCell ref="U34:U36"/>
    <mergeCell ref="V34:V36"/>
    <mergeCell ref="W34:W36"/>
    <mergeCell ref="X34:X36"/>
    <mergeCell ref="Y34:Y36"/>
    <mergeCell ref="H33:H37"/>
    <mergeCell ref="I33:I37"/>
    <mergeCell ref="J33:J37"/>
    <mergeCell ref="K33:K37"/>
    <mergeCell ref="L33:L37"/>
    <mergeCell ref="M33:M37"/>
    <mergeCell ref="N34:N36"/>
    <mergeCell ref="O34:O36"/>
    <mergeCell ref="P40:P42"/>
    <mergeCell ref="Q40:Q42"/>
    <mergeCell ref="R40:R42"/>
    <mergeCell ref="G39:G43"/>
    <mergeCell ref="AJ39:AJ43"/>
    <mergeCell ref="AK39:AK43"/>
    <mergeCell ref="P34:P36"/>
    <mergeCell ref="Q34:Q36"/>
    <mergeCell ref="R34:R36"/>
    <mergeCell ref="G33:G37"/>
    <mergeCell ref="AJ33:AJ37"/>
    <mergeCell ref="AK33:AK37"/>
    <mergeCell ref="I38:K38"/>
    <mergeCell ref="I44:K44"/>
    <mergeCell ref="F39:F44"/>
    <mergeCell ref="AF39:AF43"/>
    <mergeCell ref="AG39:AG43"/>
    <mergeCell ref="AH39:AH43"/>
    <mergeCell ref="AI39:AI43"/>
    <mergeCell ref="S40:S42"/>
    <mergeCell ref="T40:T42"/>
    <mergeCell ref="U40:U42"/>
    <mergeCell ref="V40:V42"/>
    <mergeCell ref="W40:W42"/>
    <mergeCell ref="X40:X42"/>
    <mergeCell ref="Y40:Y42"/>
    <mergeCell ref="H39:H43"/>
    <mergeCell ref="I39:I43"/>
    <mergeCell ref="J39:J43"/>
    <mergeCell ref="K39:K43"/>
    <mergeCell ref="L39:L43"/>
    <mergeCell ref="M39:M43"/>
    <mergeCell ref="N40:N42"/>
    <mergeCell ref="O40:O42"/>
    <mergeCell ref="F45:F50"/>
    <mergeCell ref="AF45:AF49"/>
    <mergeCell ref="AG45:AG49"/>
    <mergeCell ref="AH45:AH49"/>
    <mergeCell ref="AI45:AI49"/>
    <mergeCell ref="S46:S48"/>
    <mergeCell ref="T46:T48"/>
    <mergeCell ref="U46:U48"/>
    <mergeCell ref="V46:V48"/>
    <mergeCell ref="W46:W48"/>
    <mergeCell ref="X46:X48"/>
    <mergeCell ref="Y46:Y48"/>
    <mergeCell ref="H45:H49"/>
    <mergeCell ref="I45:I49"/>
    <mergeCell ref="J45:J49"/>
    <mergeCell ref="K45:K49"/>
    <mergeCell ref="L45:L49"/>
    <mergeCell ref="M45:M49"/>
    <mergeCell ref="N46:N48"/>
    <mergeCell ref="O46:O48"/>
    <mergeCell ref="P52:P54"/>
    <mergeCell ref="Q52:Q54"/>
    <mergeCell ref="R52:R54"/>
    <mergeCell ref="G51:G55"/>
    <mergeCell ref="AJ51:AJ55"/>
    <mergeCell ref="AK51:AK55"/>
    <mergeCell ref="P46:P48"/>
    <mergeCell ref="Q46:Q48"/>
    <mergeCell ref="R46:R48"/>
    <mergeCell ref="G45:G49"/>
    <mergeCell ref="AJ45:AJ49"/>
    <mergeCell ref="AK45:AK49"/>
    <mergeCell ref="I50:K50"/>
    <mergeCell ref="I56:K56"/>
    <mergeCell ref="F51:F56"/>
    <mergeCell ref="AF51:AF55"/>
    <mergeCell ref="AG51:AG55"/>
    <mergeCell ref="AH51:AH55"/>
    <mergeCell ref="AI51:AI55"/>
    <mergeCell ref="S52:S54"/>
    <mergeCell ref="T52:T54"/>
    <mergeCell ref="U52:U54"/>
    <mergeCell ref="V52:V54"/>
    <mergeCell ref="W52:W54"/>
    <mergeCell ref="X52:X54"/>
    <mergeCell ref="Y52:Y54"/>
    <mergeCell ref="H51:H55"/>
    <mergeCell ref="I51:I55"/>
    <mergeCell ref="J51:J55"/>
    <mergeCell ref="K51:K55"/>
    <mergeCell ref="L51:L55"/>
    <mergeCell ref="M51:M55"/>
    <mergeCell ref="N52:N54"/>
    <mergeCell ref="O52:O54"/>
    <mergeCell ref="F57:F62"/>
    <mergeCell ref="AF57:AF61"/>
    <mergeCell ref="AG57:AG61"/>
    <mergeCell ref="AH57:AH61"/>
    <mergeCell ref="AI57:AI61"/>
    <mergeCell ref="S58:S60"/>
    <mergeCell ref="T58:T60"/>
    <mergeCell ref="U58:U60"/>
    <mergeCell ref="V58:V60"/>
    <mergeCell ref="W58:W60"/>
    <mergeCell ref="X58:X60"/>
    <mergeCell ref="Y58:Y60"/>
    <mergeCell ref="H57:H61"/>
    <mergeCell ref="I57:I61"/>
    <mergeCell ref="J57:J61"/>
    <mergeCell ref="K57:K61"/>
    <mergeCell ref="L57:L61"/>
    <mergeCell ref="M57:M61"/>
    <mergeCell ref="N58:N60"/>
    <mergeCell ref="O58:O60"/>
    <mergeCell ref="P64:P66"/>
    <mergeCell ref="Q64:Q66"/>
    <mergeCell ref="R64:R66"/>
    <mergeCell ref="G63:G67"/>
    <mergeCell ref="AJ63:AJ67"/>
    <mergeCell ref="AK63:AK67"/>
    <mergeCell ref="P58:P60"/>
    <mergeCell ref="Q58:Q60"/>
    <mergeCell ref="R58:R60"/>
    <mergeCell ref="G57:G61"/>
    <mergeCell ref="AJ57:AJ61"/>
    <mergeCell ref="AK57:AK61"/>
    <mergeCell ref="I62:K62"/>
    <mergeCell ref="I68:K68"/>
    <mergeCell ref="F63:F68"/>
    <mergeCell ref="AF63:AF67"/>
    <mergeCell ref="AG63:AG67"/>
    <mergeCell ref="AH63:AH67"/>
    <mergeCell ref="AI63:AI67"/>
    <mergeCell ref="S64:S66"/>
    <mergeCell ref="T64:T66"/>
    <mergeCell ref="U64:U66"/>
    <mergeCell ref="V64:V66"/>
    <mergeCell ref="W64:W66"/>
    <mergeCell ref="X64:X66"/>
    <mergeCell ref="Y64:Y66"/>
    <mergeCell ref="H63:H67"/>
    <mergeCell ref="I63:I67"/>
    <mergeCell ref="J63:J67"/>
    <mergeCell ref="K63:K67"/>
    <mergeCell ref="L63:L67"/>
    <mergeCell ref="M63:M67"/>
    <mergeCell ref="N64:N66"/>
    <mergeCell ref="O64:O66"/>
    <mergeCell ref="F69:F74"/>
    <mergeCell ref="AF69:AF73"/>
    <mergeCell ref="AG69:AG73"/>
    <mergeCell ref="AH69:AH73"/>
    <mergeCell ref="AI69:AI73"/>
    <mergeCell ref="S70:S72"/>
    <mergeCell ref="T70:T72"/>
    <mergeCell ref="U70:U72"/>
    <mergeCell ref="V70:V72"/>
    <mergeCell ref="W70:W72"/>
    <mergeCell ref="X70:X72"/>
    <mergeCell ref="Y70:Y72"/>
    <mergeCell ref="H69:H73"/>
    <mergeCell ref="I69:I73"/>
    <mergeCell ref="J69:J73"/>
    <mergeCell ref="K69:K73"/>
    <mergeCell ref="L69:L73"/>
    <mergeCell ref="M69:M73"/>
    <mergeCell ref="N70:N72"/>
    <mergeCell ref="O70:O72"/>
    <mergeCell ref="P76:P78"/>
    <mergeCell ref="Q76:Q78"/>
    <mergeCell ref="R76:R78"/>
    <mergeCell ref="G75:G79"/>
    <mergeCell ref="AJ75:AJ79"/>
    <mergeCell ref="AK75:AK79"/>
    <mergeCell ref="P70:P72"/>
    <mergeCell ref="Q70:Q72"/>
    <mergeCell ref="R70:R72"/>
    <mergeCell ref="G69:G73"/>
    <mergeCell ref="AJ69:AJ73"/>
    <mergeCell ref="AK69:AK73"/>
    <mergeCell ref="I74:K74"/>
    <mergeCell ref="I80:K80"/>
    <mergeCell ref="F75:F80"/>
    <mergeCell ref="AF75:AF79"/>
    <mergeCell ref="AG75:AG79"/>
    <mergeCell ref="AH75:AH79"/>
    <mergeCell ref="AI75:AI79"/>
    <mergeCell ref="S76:S78"/>
    <mergeCell ref="T76:T78"/>
    <mergeCell ref="U76:U78"/>
    <mergeCell ref="V76:V78"/>
    <mergeCell ref="W76:W78"/>
    <mergeCell ref="X76:X78"/>
    <mergeCell ref="Y76:Y78"/>
    <mergeCell ref="H75:H79"/>
    <mergeCell ref="I75:I79"/>
    <mergeCell ref="J75:J79"/>
    <mergeCell ref="K75:K79"/>
    <mergeCell ref="L75:L79"/>
    <mergeCell ref="M75:M79"/>
    <mergeCell ref="N76:N78"/>
    <mergeCell ref="O76:O78"/>
    <mergeCell ref="P82:P84"/>
    <mergeCell ref="Q82:Q84"/>
    <mergeCell ref="R82:R84"/>
    <mergeCell ref="G81:G85"/>
    <mergeCell ref="AJ81:AJ85"/>
    <mergeCell ref="AK81:AK85"/>
    <mergeCell ref="I134:K134"/>
    <mergeCell ref="F81:F134"/>
    <mergeCell ref="AF81:AF85"/>
    <mergeCell ref="AG81:AG85"/>
    <mergeCell ref="AH81:AH85"/>
    <mergeCell ref="AI81:AI85"/>
    <mergeCell ref="S82:S84"/>
    <mergeCell ref="T82:T84"/>
    <mergeCell ref="U82:U84"/>
    <mergeCell ref="V82:V84"/>
    <mergeCell ref="W82:W84"/>
    <mergeCell ref="X82:X84"/>
    <mergeCell ref="Y82:Y84"/>
    <mergeCell ref="H81:H85"/>
    <mergeCell ref="I81:I85"/>
    <mergeCell ref="J81:J85"/>
    <mergeCell ref="K81:K85"/>
    <mergeCell ref="L81:L85"/>
    <mergeCell ref="M81:M85"/>
    <mergeCell ref="N82:N84"/>
    <mergeCell ref="O82:O84"/>
    <mergeCell ref="P136:P138"/>
    <mergeCell ref="Q136:Q138"/>
    <mergeCell ref="R136:R138"/>
    <mergeCell ref="G135:G139"/>
    <mergeCell ref="AJ135:AJ139"/>
    <mergeCell ref="AK135:AK139"/>
    <mergeCell ref="H86:H91"/>
    <mergeCell ref="I86:I91"/>
    <mergeCell ref="J86:J91"/>
    <mergeCell ref="K86:K91"/>
    <mergeCell ref="L86:L91"/>
    <mergeCell ref="M86:M91"/>
    <mergeCell ref="AF86:AF91"/>
    <mergeCell ref="AG86:AG91"/>
    <mergeCell ref="AH86:AH91"/>
    <mergeCell ref="AI86:AI91"/>
    <mergeCell ref="AJ86:AJ91"/>
    <mergeCell ref="AK86:AK91"/>
    <mergeCell ref="N87:N90"/>
    <mergeCell ref="O87:O90"/>
    <mergeCell ref="P87:P90"/>
    <mergeCell ref="I140:K140"/>
    <mergeCell ref="F135:F140"/>
    <mergeCell ref="AF135:AF139"/>
    <mergeCell ref="AG135:AG139"/>
    <mergeCell ref="AH135:AH139"/>
    <mergeCell ref="AI135:AI139"/>
    <mergeCell ref="S136:S138"/>
    <mergeCell ref="T136:T138"/>
    <mergeCell ref="U136:U138"/>
    <mergeCell ref="V136:V138"/>
    <mergeCell ref="W136:W138"/>
    <mergeCell ref="X136:X138"/>
    <mergeCell ref="Y136:Y138"/>
    <mergeCell ref="H135:H139"/>
    <mergeCell ref="I135:I139"/>
    <mergeCell ref="J135:J139"/>
    <mergeCell ref="K135:K139"/>
    <mergeCell ref="L135:L139"/>
    <mergeCell ref="M135:M139"/>
    <mergeCell ref="N136:N138"/>
    <mergeCell ref="O136:O138"/>
    <mergeCell ref="G86:G91"/>
    <mergeCell ref="H92:H98"/>
    <mergeCell ref="I92:I98"/>
    <mergeCell ref="J92:J98"/>
    <mergeCell ref="K92:K98"/>
    <mergeCell ref="L92:L98"/>
    <mergeCell ref="M92:M98"/>
    <mergeCell ref="AF92:AF98"/>
    <mergeCell ref="AG92:AG98"/>
    <mergeCell ref="G92:G98"/>
    <mergeCell ref="Q87:Q90"/>
    <mergeCell ref="R87:R90"/>
    <mergeCell ref="S87:S90"/>
    <mergeCell ref="T87:T90"/>
    <mergeCell ref="U87:U90"/>
    <mergeCell ref="V87:V90"/>
    <mergeCell ref="W87:W90"/>
    <mergeCell ref="X87:X90"/>
    <mergeCell ref="Y87:Y90"/>
    <mergeCell ref="AH92:AH98"/>
    <mergeCell ref="AI92:AI98"/>
    <mergeCell ref="AJ92:AJ98"/>
    <mergeCell ref="AK92:AK98"/>
    <mergeCell ref="N93:N97"/>
    <mergeCell ref="O93:O97"/>
    <mergeCell ref="P93:P97"/>
    <mergeCell ref="Q93:Q97"/>
    <mergeCell ref="R93:R97"/>
    <mergeCell ref="S93:S97"/>
    <mergeCell ref="T93:T97"/>
    <mergeCell ref="U93:U97"/>
    <mergeCell ref="V93:V97"/>
    <mergeCell ref="W93:W97"/>
    <mergeCell ref="X93:X97"/>
    <mergeCell ref="Y93:Y97"/>
    <mergeCell ref="AI99:AI103"/>
    <mergeCell ref="AJ99:AJ103"/>
    <mergeCell ref="AK99:AK103"/>
    <mergeCell ref="N100:N102"/>
    <mergeCell ref="O100:O102"/>
    <mergeCell ref="P100:P102"/>
    <mergeCell ref="Q100:Q102"/>
    <mergeCell ref="R100:R102"/>
    <mergeCell ref="S100:S102"/>
    <mergeCell ref="T100:T102"/>
    <mergeCell ref="U100:U102"/>
    <mergeCell ref="V100:V102"/>
    <mergeCell ref="W100:W102"/>
    <mergeCell ref="X100:X102"/>
    <mergeCell ref="Y100:Y102"/>
    <mergeCell ref="AF99:AF103"/>
    <mergeCell ref="AG99:AG103"/>
    <mergeCell ref="AH99:AH103"/>
    <mergeCell ref="G99:G103"/>
    <mergeCell ref="H104:H110"/>
    <mergeCell ref="I104:I110"/>
    <mergeCell ref="J104:J110"/>
    <mergeCell ref="K104:K110"/>
    <mergeCell ref="L104:L110"/>
    <mergeCell ref="M104:M110"/>
    <mergeCell ref="AF104:AF110"/>
    <mergeCell ref="AG104:AG110"/>
    <mergeCell ref="G104:G110"/>
    <mergeCell ref="H99:H103"/>
    <mergeCell ref="I99:I103"/>
    <mergeCell ref="J99:J103"/>
    <mergeCell ref="K99:K103"/>
    <mergeCell ref="L99:L103"/>
    <mergeCell ref="M99:M103"/>
    <mergeCell ref="AH104:AH110"/>
    <mergeCell ref="AI104:AI110"/>
    <mergeCell ref="AJ104:AJ110"/>
    <mergeCell ref="AK104:AK110"/>
    <mergeCell ref="N105:N109"/>
    <mergeCell ref="O105:O109"/>
    <mergeCell ref="P105:P109"/>
    <mergeCell ref="Q105:Q109"/>
    <mergeCell ref="R105:R109"/>
    <mergeCell ref="S105:S109"/>
    <mergeCell ref="T105:T109"/>
    <mergeCell ref="U105:U109"/>
    <mergeCell ref="V105:V109"/>
    <mergeCell ref="W105:W109"/>
    <mergeCell ref="X105:X109"/>
    <mergeCell ref="Y105:Y109"/>
    <mergeCell ref="AI111:AI116"/>
    <mergeCell ref="AJ111:AJ116"/>
    <mergeCell ref="AK111:AK116"/>
    <mergeCell ref="N112:N115"/>
    <mergeCell ref="O112:O115"/>
    <mergeCell ref="P112:P115"/>
    <mergeCell ref="Q112:Q115"/>
    <mergeCell ref="R112:R115"/>
    <mergeCell ref="S112:S115"/>
    <mergeCell ref="T112:T115"/>
    <mergeCell ref="U112:U115"/>
    <mergeCell ref="V112:V115"/>
    <mergeCell ref="W112:W115"/>
    <mergeCell ref="X112:X115"/>
    <mergeCell ref="Y112:Y115"/>
    <mergeCell ref="AF111:AF116"/>
    <mergeCell ref="AG111:AG116"/>
    <mergeCell ref="AH111:AH116"/>
    <mergeCell ref="G111:G116"/>
    <mergeCell ref="H117:H122"/>
    <mergeCell ref="I117:I122"/>
    <mergeCell ref="J117:J122"/>
    <mergeCell ref="K117:K122"/>
    <mergeCell ref="L117:L122"/>
    <mergeCell ref="M117:M122"/>
    <mergeCell ref="AF117:AF122"/>
    <mergeCell ref="AG117:AG122"/>
    <mergeCell ref="G117:G122"/>
    <mergeCell ref="H111:H116"/>
    <mergeCell ref="I111:I116"/>
    <mergeCell ref="J111:J116"/>
    <mergeCell ref="K111:K116"/>
    <mergeCell ref="L111:L116"/>
    <mergeCell ref="M111:M116"/>
    <mergeCell ref="AH117:AH122"/>
    <mergeCell ref="AI117:AI122"/>
    <mergeCell ref="AJ117:AJ122"/>
    <mergeCell ref="AK117:AK122"/>
    <mergeCell ref="N118:N121"/>
    <mergeCell ref="O118:O121"/>
    <mergeCell ref="P118:P121"/>
    <mergeCell ref="Q118:Q121"/>
    <mergeCell ref="R118:R121"/>
    <mergeCell ref="S118:S121"/>
    <mergeCell ref="T118:T121"/>
    <mergeCell ref="U118:U121"/>
    <mergeCell ref="V118:V121"/>
    <mergeCell ref="W118:W121"/>
    <mergeCell ref="X118:X121"/>
    <mergeCell ref="Y118:Y121"/>
    <mergeCell ref="AI123:AI127"/>
    <mergeCell ref="AJ123:AJ127"/>
    <mergeCell ref="AK123:AK127"/>
    <mergeCell ref="N124:N126"/>
    <mergeCell ref="O124:O126"/>
    <mergeCell ref="P124:P126"/>
    <mergeCell ref="Q124:Q126"/>
    <mergeCell ref="R124:R126"/>
    <mergeCell ref="S124:S126"/>
    <mergeCell ref="T124:T126"/>
    <mergeCell ref="U124:U126"/>
    <mergeCell ref="V124:V126"/>
    <mergeCell ref="W124:W126"/>
    <mergeCell ref="X124:X126"/>
    <mergeCell ref="Y124:Y126"/>
    <mergeCell ref="AF123:AF127"/>
    <mergeCell ref="AG123:AG127"/>
    <mergeCell ref="AH123:AH127"/>
    <mergeCell ref="G123:G127"/>
    <mergeCell ref="H128:H133"/>
    <mergeCell ref="I128:I133"/>
    <mergeCell ref="J128:J133"/>
    <mergeCell ref="K128:K133"/>
    <mergeCell ref="L128:L133"/>
    <mergeCell ref="M128:M133"/>
    <mergeCell ref="AF128:AF133"/>
    <mergeCell ref="AG128:AG133"/>
    <mergeCell ref="G128:G133"/>
    <mergeCell ref="H123:H127"/>
    <mergeCell ref="I123:I127"/>
    <mergeCell ref="J123:J127"/>
    <mergeCell ref="K123:K127"/>
    <mergeCell ref="L123:L127"/>
    <mergeCell ref="M123:M127"/>
    <mergeCell ref="AH128:AH133"/>
    <mergeCell ref="AI128:AI133"/>
    <mergeCell ref="AJ128:AJ133"/>
    <mergeCell ref="AK128:AK133"/>
    <mergeCell ref="N129:N132"/>
    <mergeCell ref="O129:O132"/>
    <mergeCell ref="P129:P132"/>
    <mergeCell ref="Q129:Q132"/>
    <mergeCell ref="R129:R132"/>
    <mergeCell ref="S129:S132"/>
    <mergeCell ref="T129:T132"/>
    <mergeCell ref="U129:U132"/>
    <mergeCell ref="V129:V132"/>
    <mergeCell ref="W129:W132"/>
    <mergeCell ref="X129:X132"/>
    <mergeCell ref="Y129:Y132"/>
  </mergeCells>
  <dataValidations count="581">
    <dataValidation type="whole" allowBlank="1" showErrorMessage="1" errorTitle="Ошибка" error="Допускается ввод только неотрицательных целых чисел!" sqref="AI131">
      <formula1>0</formula1>
      <formula2>9.99999999999999E+23</formula2>
    </dataValidation>
    <dataValidation type="whole" allowBlank="1" showErrorMessage="1" errorTitle="Ошибка" error="Допускается ввод только неотрицательных целых чисел!" sqref="AF131">
      <formula1>0</formula1>
      <formula2>9.99999999999999E+23</formula2>
    </dataValidation>
    <dataValidation type="decimal" allowBlank="1" showErrorMessage="1" errorTitle="Ошибка" error="Допускается ввод только неотрицательных чисел!" sqref="AE131">
      <formula1>0</formula1>
      <formula2>9.99999999999999E+23</formula2>
    </dataValidation>
    <dataValidation type="decimal" allowBlank="1" showErrorMessage="1" errorTitle="Ошибка" error="Допускается ввод только неотрицательных чисел!" sqref="AC131">
      <formula1>0</formula1>
      <formula2>9.99999999999999E+23</formula2>
    </dataValidation>
    <dataValidation type="textLength" operator="lessThanOrEqual" allowBlank="1" showInputMessage="1" showErrorMessage="1" errorTitle="Ошибка" error="Допускается ввод не более 900 символов!" sqref="K13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3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31">
      <formula1>"a"</formula1>
    </dataValidation>
    <dataValidation type="whole" allowBlank="1" showErrorMessage="1" errorTitle="Ошибка" error="Допускается ввод только неотрицательных целых чисел!" sqref="AI133">
      <formula1>0</formula1>
      <formula2>9.99999999999999E+23</formula2>
    </dataValidation>
    <dataValidation type="whole" allowBlank="1" showErrorMessage="1" errorTitle="Ошибка" error="Допускается ввод только неотрицательных целых чисел!" sqref="AF133">
      <formula1>0</formula1>
      <formula2>9.99999999999999E+23</formula2>
    </dataValidation>
    <dataValidation type="whole" allowBlank="1" showErrorMessage="1" errorTitle="Ошибка" error="Допускается ввод только неотрицательных целых чисел!" sqref="AI132">
      <formula1>0</formula1>
      <formula2>9.99999999999999E+23</formula2>
    </dataValidation>
    <dataValidation type="whole" allowBlank="1" showErrorMessage="1" errorTitle="Ошибка" error="Допускается ввод только неотрицательных целых чисел!" sqref="AF132">
      <formula1>0</formula1>
      <formula2>9.99999999999999E+23</formula2>
    </dataValidation>
    <dataValidation type="textLength" operator="lessThanOrEqual" allowBlank="1" showInputMessage="1" showErrorMessage="1" errorTitle="Ошибка" error="Допускается ввод не более 900 символов!" sqref="K13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3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32">
      <formula1>"a"</formula1>
    </dataValidation>
    <dataValidation type="whole" allowBlank="1" showErrorMessage="1" errorTitle="Ошибка" error="Допускается ввод только неотрицательных целых чисел!" sqref="AI130">
      <formula1>0</formula1>
      <formula2>9.99999999999999E+23</formula2>
    </dataValidation>
    <dataValidation type="whole" allowBlank="1" showErrorMessage="1" errorTitle="Ошибка" error="Допускается ввод только неотрицательных целых чисел!" sqref="AF130">
      <formula1>0</formula1>
      <formula2>9.99999999999999E+23</formula2>
    </dataValidation>
    <dataValidation type="decimal" allowBlank="1" showErrorMessage="1" errorTitle="Ошибка" error="Допускается ввод только неотрицательных чисел!" sqref="AE130">
      <formula1>0</formula1>
      <formula2>9.99999999999999E+23</formula2>
    </dataValidation>
    <dataValidation type="decimal" allowBlank="1" showErrorMessage="1" errorTitle="Ошибка" error="Допускается ввод только неотрицательных чисел!" sqref="AC130">
      <formula1>0</formula1>
      <formula2>9.99999999999999E+23</formula2>
    </dataValidation>
    <dataValidation type="textLength" operator="lessThanOrEqual" allowBlank="1" showInputMessage="1" showErrorMessage="1" errorTitle="Ошибка" error="Допускается ввод не более 900 символов!" sqref="K13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3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30">
      <formula1>"a"</formula1>
    </dataValidation>
    <dataValidation type="whole" allowBlank="1" showErrorMessage="1" errorTitle="Ошибка" error="Допускается ввод только неотрицательных целых чисел!" sqref="AI129">
      <formula1>0</formula1>
      <formula2>9.99999999999999E+23</formula2>
    </dataValidation>
    <dataValidation type="whole" allowBlank="1" showErrorMessage="1" errorTitle="Ошибка" error="Допускается ввод только неотрицательных целых чисел!" sqref="AF129">
      <formula1>0</formula1>
      <formula2>9.99999999999999E+23</formula2>
    </dataValidation>
    <dataValidation type="textLength" operator="lessThanOrEqual" allowBlank="1" showInputMessage="1" showErrorMessage="1" errorTitle="Ошибка" error="Допускается ввод не более 900 символов!" sqref="K12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9">
      <formula1>"a"</formula1>
    </dataValidation>
    <dataValidation type="whole" allowBlank="1" showErrorMessage="1" errorTitle="Ошибка" error="Допускается ввод только неотрицательных целых чисел!" sqref="AI128">
      <formula1>0</formula1>
      <formula2>9.99999999999999E+23</formula2>
    </dataValidation>
    <dataValidation type="whole" allowBlank="1" showErrorMessage="1" errorTitle="Ошибка" error="Допускается ввод только неотрицательных целых чисел!" sqref="AF128">
      <formula1>0</formula1>
      <formula2>9.99999999999999E+23</formula2>
    </dataValidation>
    <dataValidation type="textLength" operator="lessThanOrEqual" allowBlank="1" showInputMessage="1" showErrorMessage="1" errorTitle="Ошибка" error="Допускается ввод не более 900 символов!" sqref="M128">
      <formula1>900</formula1>
    </dataValidation>
    <dataValidation type="textLength" operator="lessThanOrEqual" allowBlank="1" showInputMessage="1" showErrorMessage="1" errorTitle="Ошибка" error="Допускается ввод не более 900 символов!" sqref="K12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8">
      <formula1>"a"</formula1>
    </dataValidation>
    <dataValidation type="whole" allowBlank="1" showErrorMessage="1" errorTitle="Ошибка" error="Допускается ввод только неотрицательных целых чисел!" sqref="AI127">
      <formula1>0</formula1>
      <formula2>9.99999999999999E+23</formula2>
    </dataValidation>
    <dataValidation type="whole" allowBlank="1" showErrorMessage="1" errorTitle="Ошибка" error="Допускается ввод только неотрицательных целых чисел!" sqref="AF127">
      <formula1>0</formula1>
      <formula2>9.99999999999999E+23</formula2>
    </dataValidation>
    <dataValidation type="whole" allowBlank="1" showErrorMessage="1" errorTitle="Ошибка" error="Допускается ввод только неотрицательных целых чисел!" sqref="AI126">
      <formula1>0</formula1>
      <formula2>9.99999999999999E+23</formula2>
    </dataValidation>
    <dataValidation type="whole" allowBlank="1" showErrorMessage="1" errorTitle="Ошибка" error="Допускается ввод только неотрицательных целых чисел!" sqref="AF126">
      <formula1>0</formula1>
      <formula2>9.99999999999999E+23</formula2>
    </dataValidation>
    <dataValidation type="textLength" operator="lessThanOrEqual" allowBlank="1" showInputMessage="1" showErrorMessage="1" errorTitle="Ошибка" error="Допускается ввод не более 900 символов!" sqref="K12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6">
      <formula1>"a"</formula1>
    </dataValidation>
    <dataValidation type="whole" allowBlank="1" showErrorMessage="1" errorTitle="Ошибка" error="Допускается ввод только неотрицательных целых чисел!" sqref="AI125">
      <formula1>0</formula1>
      <formula2>9.99999999999999E+23</formula2>
    </dataValidation>
    <dataValidation type="whole" allowBlank="1" showErrorMessage="1" errorTitle="Ошибка" error="Допускается ввод только неотрицательных целых чисел!" sqref="AF125">
      <formula1>0</formula1>
      <formula2>9.99999999999999E+23</formula2>
    </dataValidation>
    <dataValidation type="decimal" allowBlank="1" showErrorMessage="1" errorTitle="Ошибка" error="Допускается ввод только неотрицательных чисел!" sqref="AE125">
      <formula1>0</formula1>
      <formula2>9.99999999999999E+23</formula2>
    </dataValidation>
    <dataValidation type="decimal" allowBlank="1" showErrorMessage="1" errorTitle="Ошибка" error="Допускается ввод только неотрицательных чисел!" sqref="AC125">
      <formula1>0</formula1>
      <formula2>9.99999999999999E+23</formula2>
    </dataValidation>
    <dataValidation type="textLength" operator="lessThanOrEqual" allowBlank="1" showInputMessage="1" showErrorMessage="1" errorTitle="Ошибка" error="Допускается ввод не более 900 символов!" sqref="K12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5">
      <formula1>"a"</formula1>
    </dataValidation>
    <dataValidation type="whole" allowBlank="1" showErrorMessage="1" errorTitle="Ошибка" error="Допускается ввод только неотрицательных целых чисел!" sqref="AI124">
      <formula1>0</formula1>
      <formula2>9.99999999999999E+23</formula2>
    </dataValidation>
    <dataValidation type="whole" allowBlank="1" showErrorMessage="1" errorTitle="Ошибка" error="Допускается ввод только неотрицательных целых чисел!" sqref="AF124">
      <formula1>0</formula1>
      <formula2>9.99999999999999E+23</formula2>
    </dataValidation>
    <dataValidation type="textLength" operator="lessThanOrEqual" allowBlank="1" showInputMessage="1" showErrorMessage="1" errorTitle="Ошибка" error="Допускается ввод не более 900 символов!" sqref="K12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4">
      <formula1>"a"</formula1>
    </dataValidation>
    <dataValidation type="whole" allowBlank="1" showErrorMessage="1" errorTitle="Ошибка" error="Допускается ввод только неотрицательных целых чисел!" sqref="AI123">
      <formula1>0</formula1>
      <formula2>9.99999999999999E+23</formula2>
    </dataValidation>
    <dataValidation type="whole" allowBlank="1" showErrorMessage="1" errorTitle="Ошибка" error="Допускается ввод только неотрицательных целых чисел!" sqref="AF123">
      <formula1>0</formula1>
      <formula2>9.99999999999999E+23</formula2>
    </dataValidation>
    <dataValidation type="textLength" operator="lessThanOrEqual" allowBlank="1" showInputMessage="1" showErrorMessage="1" errorTitle="Ошибка" error="Допускается ввод не более 900 символов!" sqref="M123">
      <formula1>900</formula1>
    </dataValidation>
    <dataValidation type="textLength" operator="lessThanOrEqual" allowBlank="1" showInputMessage="1" showErrorMessage="1" errorTitle="Ошибка" error="Допускается ввод не более 900 символов!" sqref="K1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3">
      <formula1>"a"</formula1>
    </dataValidation>
    <dataValidation type="whole" allowBlank="1" showErrorMessage="1" errorTitle="Ошибка" error="Допускается ввод только неотрицательных целых чисел!" sqref="AI120">
      <formula1>0</formula1>
      <formula2>9.99999999999999E+23</formula2>
    </dataValidation>
    <dataValidation type="whole" allowBlank="1" showErrorMessage="1" errorTitle="Ошибка" error="Допускается ввод только неотрицательных целых чисел!" sqref="AF120">
      <formula1>0</formula1>
      <formula2>9.99999999999999E+23</formula2>
    </dataValidation>
    <dataValidation type="decimal" allowBlank="1" showErrorMessage="1" errorTitle="Ошибка" error="Допускается ввод только неотрицательных чисел!" sqref="AE120">
      <formula1>0</formula1>
      <formula2>9.99999999999999E+23</formula2>
    </dataValidation>
    <dataValidation type="decimal" allowBlank="1" showErrorMessage="1" errorTitle="Ошибка" error="Допускается ввод только неотрицательных чисел!" sqref="AC120">
      <formula1>0</formula1>
      <formula2>9.99999999999999E+23</formula2>
    </dataValidation>
    <dataValidation type="textLength" operator="lessThanOrEqual" allowBlank="1" showInputMessage="1" showErrorMessage="1" errorTitle="Ошибка" error="Допускается ввод не более 900 символов!" sqref="K12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0">
      <formula1>"a"</formula1>
    </dataValidation>
    <dataValidation type="whole" allowBlank="1" showErrorMessage="1" errorTitle="Ошибка" error="Допускается ввод только неотрицательных целых чисел!" sqref="AI122">
      <formula1>0</formula1>
      <formula2>9.99999999999999E+23</formula2>
    </dataValidation>
    <dataValidation type="whole" allowBlank="1" showErrorMessage="1" errorTitle="Ошибка" error="Допускается ввод только неотрицательных целых чисел!" sqref="AF122">
      <formula1>0</formula1>
      <formula2>9.99999999999999E+23</formula2>
    </dataValidation>
    <dataValidation type="whole" allowBlank="1" showErrorMessage="1" errorTitle="Ошибка" error="Допускается ввод только неотрицательных целых чисел!" sqref="AI121">
      <formula1>0</formula1>
      <formula2>9.99999999999999E+23</formula2>
    </dataValidation>
    <dataValidation type="whole" allowBlank="1" showErrorMessage="1" errorTitle="Ошибка" error="Допускается ввод только неотрицательных целых чисел!" sqref="AF121">
      <formula1>0</formula1>
      <formula2>9.99999999999999E+23</formula2>
    </dataValidation>
    <dataValidation type="textLength" operator="lessThanOrEqual" allowBlank="1" showInputMessage="1" showErrorMessage="1" errorTitle="Ошибка" error="Допускается ввод не более 900 символов!" sqref="K12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1">
      <formula1>"a"</formula1>
    </dataValidation>
    <dataValidation type="whole" allowBlank="1" showErrorMessage="1" errorTitle="Ошибка" error="Допускается ввод только неотрицательных целых чисел!" sqref="AI119">
      <formula1>0</formula1>
      <formula2>9.99999999999999E+23</formula2>
    </dataValidation>
    <dataValidation type="whole" allowBlank="1" showErrorMessage="1" errorTitle="Ошибка" error="Допускается ввод только неотрицательных целых чисел!" sqref="AF119">
      <formula1>0</formula1>
      <formula2>9.99999999999999E+23</formula2>
    </dataValidation>
    <dataValidation type="decimal" allowBlank="1" showErrorMessage="1" errorTitle="Ошибка" error="Допускается ввод только неотрицательных чисел!" sqref="AE119">
      <formula1>0</formula1>
      <formula2>9.99999999999999E+23</formula2>
    </dataValidation>
    <dataValidation type="decimal" allowBlank="1" showErrorMessage="1" errorTitle="Ошибка" error="Допускается ввод только неотрицательных чисел!" sqref="AC119">
      <formula1>0</formula1>
      <formula2>9.99999999999999E+23</formula2>
    </dataValidation>
    <dataValidation type="textLength" operator="lessThanOrEqual" allowBlank="1" showInputMessage="1" showErrorMessage="1" errorTitle="Ошибка" error="Допускается ввод не более 900 символов!" sqref="K11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9">
      <formula1>"a"</formula1>
    </dataValidation>
    <dataValidation type="whole" allowBlank="1" showErrorMessage="1" errorTitle="Ошибка" error="Допускается ввод только неотрицательных целых чисел!" sqref="AI118">
      <formula1>0</formula1>
      <formula2>9.99999999999999E+23</formula2>
    </dataValidation>
    <dataValidation type="whole" allowBlank="1" showErrorMessage="1" errorTitle="Ошибка" error="Допускается ввод только неотрицательных целых чисел!" sqref="AF118">
      <formula1>0</formula1>
      <formula2>9.99999999999999E+23</formula2>
    </dataValidation>
    <dataValidation type="textLength" operator="lessThanOrEqual" allowBlank="1" showInputMessage="1" showErrorMessage="1" errorTitle="Ошибка" error="Допускается ввод не более 900 символов!" sqref="K11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8">
      <formula1>"a"</formula1>
    </dataValidation>
    <dataValidation type="whole" allowBlank="1" showErrorMessage="1" errorTitle="Ошибка" error="Допускается ввод только неотрицательных целых чисел!" sqref="AI117">
      <formula1>0</formula1>
      <formula2>9.99999999999999E+23</formula2>
    </dataValidation>
    <dataValidation type="whole" allowBlank="1" showErrorMessage="1" errorTitle="Ошибка" error="Допускается ввод только неотрицательных целых чисел!" sqref="AF117">
      <formula1>0</formula1>
      <formula2>9.99999999999999E+23</formula2>
    </dataValidation>
    <dataValidation type="textLength" operator="lessThanOrEqual" allowBlank="1" showInputMessage="1" showErrorMessage="1" errorTitle="Ошибка" error="Допускается ввод не более 900 символов!" sqref="M117">
      <formula1>900</formula1>
    </dataValidation>
    <dataValidation type="textLength" operator="lessThanOrEqual" allowBlank="1" showInputMessage="1" showErrorMessage="1" errorTitle="Ошибка" error="Допускается ввод не более 900 символов!" sqref="K11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7">
      <formula1>"a"</formula1>
    </dataValidation>
    <dataValidation type="whole" allowBlank="1" showErrorMessage="1" errorTitle="Ошибка" error="Допускается ввод только неотрицательных целых чисел!" sqref="AI114">
      <formula1>0</formula1>
      <formula2>9.99999999999999E+23</formula2>
    </dataValidation>
    <dataValidation type="whole" allowBlank="1" showErrorMessage="1" errorTitle="Ошибка" error="Допускается ввод только неотрицательных целых чисел!" sqref="AF114">
      <formula1>0</formula1>
      <formula2>9.99999999999999E+23</formula2>
    </dataValidation>
    <dataValidation type="decimal" allowBlank="1" showErrorMessage="1" errorTitle="Ошибка" error="Допускается ввод только неотрицательных чисел!" sqref="AE114">
      <formula1>0</formula1>
      <formula2>9.99999999999999E+23</formula2>
    </dataValidation>
    <dataValidation type="decimal" allowBlank="1" showErrorMessage="1" errorTitle="Ошибка" error="Допускается ввод только неотрицательных чисел!" sqref="AC114">
      <formula1>0</formula1>
      <formula2>9.99999999999999E+23</formula2>
    </dataValidation>
    <dataValidation type="textLength" operator="lessThanOrEqual" allowBlank="1" showInputMessage="1" showErrorMessage="1" errorTitle="Ошибка" error="Допускается ввод не более 900 символов!" sqref="K11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4">
      <formula1>"a"</formula1>
    </dataValidation>
    <dataValidation type="whole" allowBlank="1" showErrorMessage="1" errorTitle="Ошибка" error="Допускается ввод только неотрицательных целых чисел!" sqref="AI108">
      <formula1>0</formula1>
      <formula2>9.99999999999999E+23</formula2>
    </dataValidation>
    <dataValidation type="whole" allowBlank="1" showErrorMessage="1" errorTitle="Ошибка" error="Допускается ввод только неотрицательных целых чисел!" sqref="AF108">
      <formula1>0</formula1>
      <formula2>9.99999999999999E+23</formula2>
    </dataValidation>
    <dataValidation type="decimal" allowBlank="1" showErrorMessage="1" errorTitle="Ошибка" error="Допускается ввод только неотрицательных чисел!" sqref="AE108">
      <formula1>0</formula1>
      <formula2>9.99999999999999E+23</formula2>
    </dataValidation>
    <dataValidation type="decimal" allowBlank="1" showErrorMessage="1" errorTitle="Ошибка" error="Допускается ввод только неотрицательных чисел!" sqref="AC108">
      <formula1>0</formula1>
      <formula2>9.99999999999999E+23</formula2>
    </dataValidation>
    <dataValidation type="textLength" operator="lessThanOrEqual" allowBlank="1" showInputMessage="1" showErrorMessage="1" errorTitle="Ошибка" error="Допускается ввод не более 900 символов!" sqref="K10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8">
      <formula1>"a"</formula1>
    </dataValidation>
    <dataValidation type="whole" allowBlank="1" showErrorMessage="1" errorTitle="Ошибка" error="Допускается ввод только неотрицательных целых чисел!" sqref="AI107">
      <formula1>0</formula1>
      <formula2>9.99999999999999E+23</formula2>
    </dataValidation>
    <dataValidation type="whole" allowBlank="1" showErrorMessage="1" errorTitle="Ошибка" error="Допускается ввод только неотрицательных целых чисел!" sqref="AF107">
      <formula1>0</formula1>
      <formula2>9.99999999999999E+23</formula2>
    </dataValidation>
    <dataValidation type="decimal" allowBlank="1" showErrorMessage="1" errorTitle="Ошибка" error="Допускается ввод только неотрицательных чисел!" sqref="AE107">
      <formula1>0</formula1>
      <formula2>9.99999999999999E+23</formula2>
    </dataValidation>
    <dataValidation type="decimal" allowBlank="1" showErrorMessage="1" errorTitle="Ошибка" error="Допускается ввод только неотрицательных чисел!" sqref="AC107">
      <formula1>0</formula1>
      <formula2>9.99999999999999E+23</formula2>
    </dataValidation>
    <dataValidation type="textLength" operator="lessThanOrEqual" allowBlank="1" showInputMessage="1" showErrorMessage="1" errorTitle="Ошибка" error="Допускается ввод не более 900 символов!" sqref="K10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7">
      <formula1>"a"</formula1>
    </dataValidation>
    <dataValidation type="whole" allowBlank="1" showErrorMessage="1" errorTitle="Ошибка" error="Допускается ввод только неотрицательных целых чисел!" sqref="AI116">
      <formula1>0</formula1>
      <formula2>9.99999999999999E+23</formula2>
    </dataValidation>
    <dataValidation type="whole" allowBlank="1" showErrorMessage="1" errorTitle="Ошибка" error="Допускается ввод только неотрицательных целых чисел!" sqref="AF116">
      <formula1>0</formula1>
      <formula2>9.99999999999999E+23</formula2>
    </dataValidation>
    <dataValidation type="whole" allowBlank="1" showErrorMessage="1" errorTitle="Ошибка" error="Допускается ввод только неотрицательных целых чисел!" sqref="AI115">
      <formula1>0</formula1>
      <formula2>9.99999999999999E+23</formula2>
    </dataValidation>
    <dataValidation type="whole" allowBlank="1" showErrorMessage="1" errorTitle="Ошибка" error="Допускается ввод только неотрицательных целых чисел!" sqref="AF115">
      <formula1>0</formula1>
      <formula2>9.99999999999999E+23</formula2>
    </dataValidation>
    <dataValidation type="textLength" operator="lessThanOrEqual" allowBlank="1" showInputMessage="1" showErrorMessage="1" errorTitle="Ошибка" error="Допускается ввод не более 900 символов!" sqref="K11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5">
      <formula1>"a"</formula1>
    </dataValidation>
    <dataValidation type="whole" allowBlank="1" showErrorMessage="1" errorTitle="Ошибка" error="Допускается ввод только неотрицательных целых чисел!" sqref="AI113">
      <formula1>0</formula1>
      <formula2>9.99999999999999E+23</formula2>
    </dataValidation>
    <dataValidation type="whole" allowBlank="1" showErrorMessage="1" errorTitle="Ошибка" error="Допускается ввод только неотрицательных целых чисел!" sqref="AF113">
      <formula1>0</formula1>
      <formula2>9.99999999999999E+23</formula2>
    </dataValidation>
    <dataValidation type="decimal" allowBlank="1" showErrorMessage="1" errorTitle="Ошибка" error="Допускается ввод только неотрицательных чисел!" sqref="AE113">
      <formula1>0</formula1>
      <formula2>9.99999999999999E+23</formula2>
    </dataValidation>
    <dataValidation type="decimal" allowBlank="1" showErrorMessage="1" errorTitle="Ошибка" error="Допускается ввод только неотрицательных чисел!" sqref="AC113">
      <formula1>0</formula1>
      <formula2>9.99999999999999E+23</formula2>
    </dataValidation>
    <dataValidation type="textLength" operator="lessThanOrEqual" allowBlank="1" showInputMessage="1" showErrorMessage="1" errorTitle="Ошибка" error="Допускается ввод не более 900 символов!" sqref="K11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3">
      <formula1>"a"</formula1>
    </dataValidation>
    <dataValidation type="whole" allowBlank="1" showErrorMessage="1" errorTitle="Ошибка" error="Допускается ввод только неотрицательных целых чисел!" sqref="AI112">
      <formula1>0</formula1>
      <formula2>9.99999999999999E+23</formula2>
    </dataValidation>
    <dataValidation type="whole" allowBlank="1" showErrorMessage="1" errorTitle="Ошибка" error="Допускается ввод только неотрицательных целых чисел!" sqref="AF112">
      <formula1>0</formula1>
      <formula2>9.99999999999999E+23</formula2>
    </dataValidation>
    <dataValidation type="textLength" operator="lessThanOrEqual" allowBlank="1" showInputMessage="1" showErrorMessage="1" errorTitle="Ошибка" error="Допускается ввод не более 900 символов!" sqref="K11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2">
      <formula1>"a"</formula1>
    </dataValidation>
    <dataValidation type="whole" allowBlank="1" showErrorMessage="1" errorTitle="Ошибка" error="Допускается ввод только неотрицательных целых чисел!" sqref="AI111">
      <formula1>0</formula1>
      <formula2>9.99999999999999E+23</formula2>
    </dataValidation>
    <dataValidation type="whole" allowBlank="1" showErrorMessage="1" errorTitle="Ошибка" error="Допускается ввод только неотрицательных целых чисел!" sqref="AF111">
      <formula1>0</formula1>
      <formula2>9.99999999999999E+23</formula2>
    </dataValidation>
    <dataValidation type="textLength" operator="lessThanOrEqual" allowBlank="1" showInputMessage="1" showErrorMessage="1" errorTitle="Ошибка" error="Допускается ввод не более 900 символов!" sqref="M111">
      <formula1>900</formula1>
    </dataValidation>
    <dataValidation type="textLength" operator="lessThanOrEqual" allowBlank="1" showInputMessage="1" showErrorMessage="1" errorTitle="Ошибка" error="Допускается ввод не более 900 символов!" sqref="K11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1">
      <formula1>"a"</formula1>
    </dataValidation>
    <dataValidation type="whole" allowBlank="1" showErrorMessage="1" errorTitle="Ошибка" error="Допускается ввод только неотрицательных целых чисел!" sqref="AI110">
      <formula1>0</formula1>
      <formula2>9.99999999999999E+23</formula2>
    </dataValidation>
    <dataValidation type="whole" allowBlank="1" showErrorMessage="1" errorTitle="Ошибка" error="Допускается ввод только неотрицательных целых чисел!" sqref="AF110">
      <formula1>0</formula1>
      <formula2>9.99999999999999E+23</formula2>
    </dataValidation>
    <dataValidation type="whole" allowBlank="1" showErrorMessage="1" errorTitle="Ошибка" error="Допускается ввод только неотрицательных целых чисел!" sqref="AI109">
      <formula1>0</formula1>
      <formula2>9.99999999999999E+23</formula2>
    </dataValidation>
    <dataValidation type="whole" allowBlank="1" showErrorMessage="1" errorTitle="Ошибка" error="Допускается ввод только неотрицательных целых чисел!" sqref="AF109">
      <formula1>0</formula1>
      <formula2>9.99999999999999E+23</formula2>
    </dataValidation>
    <dataValidation type="textLength" operator="lessThanOrEqual" allowBlank="1" showInputMessage="1" showErrorMessage="1" errorTitle="Ошибка" error="Допускается ввод не более 900 символов!" sqref="K10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9">
      <formula1>"a"</formula1>
    </dataValidation>
    <dataValidation type="whole" allowBlank="1" showErrorMessage="1" errorTitle="Ошибка" error="Допускается ввод только неотрицательных целых чисел!" sqref="AI106">
      <formula1>0</formula1>
      <formula2>9.99999999999999E+23</formula2>
    </dataValidation>
    <dataValidation type="whole" allowBlank="1" showErrorMessage="1" errorTitle="Ошибка" error="Допускается ввод только неотрицательных целых чисел!" sqref="AF106">
      <formula1>0</formula1>
      <formula2>9.99999999999999E+23</formula2>
    </dataValidation>
    <dataValidation type="decimal" allowBlank="1" showErrorMessage="1" errorTitle="Ошибка" error="Допускается ввод только неотрицательных чисел!" sqref="AE106">
      <formula1>0</formula1>
      <formula2>9.99999999999999E+23</formula2>
    </dataValidation>
    <dataValidation type="decimal" allowBlank="1" showErrorMessage="1" errorTitle="Ошибка" error="Допускается ввод только неотрицательных чисел!" sqref="AC106">
      <formula1>0</formula1>
      <formula2>9.99999999999999E+23</formula2>
    </dataValidation>
    <dataValidation type="textLength" operator="lessThanOrEqual" allowBlank="1" showInputMessage="1" showErrorMessage="1" errorTitle="Ошибка" error="Допускается ввод не более 900 символов!" sqref="K10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6">
      <formula1>"a"</formula1>
    </dataValidation>
    <dataValidation type="whole" allowBlank="1" showErrorMessage="1" errorTitle="Ошибка" error="Допускается ввод только неотрицательных целых чисел!" sqref="AI105">
      <formula1>0</formula1>
      <formula2>9.99999999999999E+23</formula2>
    </dataValidation>
    <dataValidation type="whole" allowBlank="1" showErrorMessage="1" errorTitle="Ошибка" error="Допускается ввод только неотрицательных целых чисел!" sqref="AF105">
      <formula1>0</formula1>
      <formula2>9.99999999999999E+23</formula2>
    </dataValidation>
    <dataValidation type="textLength" operator="lessThanOrEqual" allowBlank="1" showInputMessage="1" showErrorMessage="1" errorTitle="Ошибка" error="Допускается ввод не более 900 символов!" sqref="K10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5">
      <formula1>"a"</formula1>
    </dataValidation>
    <dataValidation type="whole" allowBlank="1" showErrorMessage="1" errorTitle="Ошибка" error="Допускается ввод только неотрицательных целых чисел!" sqref="AI104">
      <formula1>0</formula1>
      <formula2>9.99999999999999E+23</formula2>
    </dataValidation>
    <dataValidation type="whole" allowBlank="1" showErrorMessage="1" errorTitle="Ошибка" error="Допускается ввод только неотрицательных целых чисел!" sqref="AF104">
      <formula1>0</formula1>
      <formula2>9.99999999999999E+23</formula2>
    </dataValidation>
    <dataValidation type="textLength" operator="lessThanOrEqual" allowBlank="1" showInputMessage="1" showErrorMessage="1" errorTitle="Ошибка" error="Допускается ввод не более 900 символов!" sqref="M104">
      <formula1>900</formula1>
    </dataValidation>
    <dataValidation type="textLength" operator="lessThanOrEqual" allowBlank="1" showInputMessage="1" showErrorMessage="1" errorTitle="Ошибка" error="Допускается ввод не более 900 символов!" sqref="K10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4">
      <formula1>"a"</formula1>
    </dataValidation>
    <dataValidation type="whole" allowBlank="1" showErrorMessage="1" errorTitle="Ошибка" error="Допускается ввод только неотрицательных целых чисел!" sqref="AI103">
      <formula1>0</formula1>
      <formula2>9.99999999999999E+23</formula2>
    </dataValidation>
    <dataValidation type="whole" allowBlank="1" showErrorMessage="1" errorTitle="Ошибка" error="Допускается ввод только неотрицательных целых чисел!" sqref="AF103">
      <formula1>0</formula1>
      <formula2>9.99999999999999E+23</formula2>
    </dataValidation>
    <dataValidation type="whole" allowBlank="1" showErrorMessage="1" errorTitle="Ошибка" error="Допускается ввод только неотрицательных целых чисел!" sqref="AI102">
      <formula1>0</formula1>
      <formula2>9.99999999999999E+23</formula2>
    </dataValidation>
    <dataValidation type="whole" allowBlank="1" showErrorMessage="1" errorTitle="Ошибка" error="Допускается ввод только неотрицательных целых чисел!" sqref="AF102">
      <formula1>0</formula1>
      <formula2>9.99999999999999E+23</formula2>
    </dataValidation>
    <dataValidation type="textLength" operator="lessThanOrEqual" allowBlank="1" showInputMessage="1" showErrorMessage="1" errorTitle="Ошибка" error="Допускается ввод не более 900 символов!" sqref="K10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2">
      <formula1>"a"</formula1>
    </dataValidation>
    <dataValidation type="whole" allowBlank="1" showErrorMessage="1" errorTitle="Ошибка" error="Допускается ввод только неотрицательных целых чисел!" sqref="AI101">
      <formula1>0</formula1>
      <formula2>9.99999999999999E+23</formula2>
    </dataValidation>
    <dataValidation type="whole" allowBlank="1" showErrorMessage="1" errorTitle="Ошибка" error="Допускается ввод только неотрицательных целых чисел!" sqref="AF101">
      <formula1>0</formula1>
      <formula2>9.99999999999999E+23</formula2>
    </dataValidation>
    <dataValidation type="decimal" allowBlank="1" showErrorMessage="1" errorTitle="Ошибка" error="Допускается ввод только неотрицательных чисел!" sqref="AE101">
      <formula1>0</formula1>
      <formula2>9.99999999999999E+23</formula2>
    </dataValidation>
    <dataValidation type="decimal" allowBlank="1" showErrorMessage="1" errorTitle="Ошибка" error="Допускается ввод только неотрицательных чисел!" sqref="AC101">
      <formula1>0</formula1>
      <formula2>9.99999999999999E+23</formula2>
    </dataValidation>
    <dataValidation type="textLength" operator="lessThanOrEqual" allowBlank="1" showInputMessage="1" showErrorMessage="1" errorTitle="Ошибка" error="Допускается ввод не более 900 символов!" sqref="K10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1">
      <formula1>"a"</formula1>
    </dataValidation>
    <dataValidation type="whole" allowBlank="1" showErrorMessage="1" errorTitle="Ошибка" error="Допускается ввод только неотрицательных целых чисел!" sqref="AI100">
      <formula1>0</formula1>
      <formula2>9.99999999999999E+23</formula2>
    </dataValidation>
    <dataValidation type="whole" allowBlank="1" showErrorMessage="1" errorTitle="Ошибка" error="Допускается ввод только неотрицательных целых чисел!" sqref="AF100">
      <formula1>0</formula1>
      <formula2>9.99999999999999E+23</formula2>
    </dataValidation>
    <dataValidation type="textLength" operator="lessThanOrEqual" allowBlank="1" showInputMessage="1" showErrorMessage="1" errorTitle="Ошибка" error="Допускается ввод не более 900 символов!" sqref="K1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0">
      <formula1>"a"</formula1>
    </dataValidation>
    <dataValidation type="whole" allowBlank="1" showErrorMessage="1" errorTitle="Ошибка" error="Допускается ввод только неотрицательных целых чисел!" sqref="AI99">
      <formula1>0</formula1>
      <formula2>9.99999999999999E+23</formula2>
    </dataValidation>
    <dataValidation type="whole" allowBlank="1" showErrorMessage="1" errorTitle="Ошибка" error="Допускается ввод только неотрицательных целых чисел!" sqref="AF99">
      <formula1>0</formula1>
      <formula2>9.99999999999999E+23</formula2>
    </dataValidation>
    <dataValidation type="textLength" operator="lessThanOrEqual" allowBlank="1" showInputMessage="1" showErrorMessage="1" errorTitle="Ошибка" error="Допускается ввод не более 900 символов!" sqref="M99">
      <formula1>900</formula1>
    </dataValidation>
    <dataValidation type="textLength" operator="lessThanOrEqual" allowBlank="1" showInputMessage="1" showErrorMessage="1" errorTitle="Ошибка" error="Допускается ввод не более 900 символов!" sqref="K9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9">
      <formula1>"a"</formula1>
    </dataValidation>
    <dataValidation type="whole" allowBlank="1" showErrorMessage="1" errorTitle="Ошибка" error="Допускается ввод только неотрицательных целых чисел!" sqref="AI96">
      <formula1>0</formula1>
      <formula2>9.99999999999999E+23</formula2>
    </dataValidation>
    <dataValidation type="whole" allowBlank="1" showErrorMessage="1" errorTitle="Ошибка" error="Допускается ввод только неотрицательных целых чисел!" sqref="AF96">
      <formula1>0</formula1>
      <formula2>9.99999999999999E+23</formula2>
    </dataValidation>
    <dataValidation type="decimal" allowBlank="1" showErrorMessage="1" errorTitle="Ошибка" error="Допускается ввод только неотрицательных чисел!" sqref="AE96">
      <formula1>0</formula1>
      <formula2>9.99999999999999E+23</formula2>
    </dataValidation>
    <dataValidation type="decimal" allowBlank="1" showErrorMessage="1" errorTitle="Ошибка" error="Допускается ввод только неотрицательных чисел!" sqref="AC96">
      <formula1>0</formula1>
      <formula2>9.99999999999999E+23</formula2>
    </dataValidation>
    <dataValidation type="textLength" operator="lessThanOrEqual" allowBlank="1" showInputMessage="1" showErrorMessage="1" errorTitle="Ошибка" error="Допускается ввод не более 900 символов!" sqref="K9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6">
      <formula1>"a"</formula1>
    </dataValidation>
    <dataValidation type="whole" allowBlank="1" showErrorMessage="1" errorTitle="Ошибка" error="Допускается ввод только неотрицательных целых чисел!" sqref="AI95">
      <formula1>0</formula1>
      <formula2>9.99999999999999E+23</formula2>
    </dataValidation>
    <dataValidation type="whole" allowBlank="1" showErrorMessage="1" errorTitle="Ошибка" error="Допускается ввод только неотрицательных целых чисел!" sqref="AF95">
      <formula1>0</formula1>
      <formula2>9.99999999999999E+23</formula2>
    </dataValidation>
    <dataValidation type="decimal" allowBlank="1" showErrorMessage="1" errorTitle="Ошибка" error="Допускается ввод только неотрицательных чисел!" sqref="AE95">
      <formula1>0</formula1>
      <formula2>9.99999999999999E+23</formula2>
    </dataValidation>
    <dataValidation type="decimal" allowBlank="1" showErrorMessage="1" errorTitle="Ошибка" error="Допускается ввод только неотрицательных чисел!" sqref="AC95">
      <formula1>0</formula1>
      <formula2>9.99999999999999E+23</formula2>
    </dataValidation>
    <dataValidation type="textLength" operator="lessThanOrEqual" allowBlank="1" showInputMessage="1" showErrorMessage="1" errorTitle="Ошибка" error="Допускается ввод не более 900 символов!" sqref="K9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5">
      <formula1>"a"</formula1>
    </dataValidation>
    <dataValidation type="whole" allowBlank="1" showErrorMessage="1" errorTitle="Ошибка" error="Допускается ввод только неотрицательных целых чисел!" sqref="AI89">
      <formula1>0</formula1>
      <formula2>9.99999999999999E+23</formula2>
    </dataValidation>
    <dataValidation type="whole" allowBlank="1" showErrorMessage="1" errorTitle="Ошибка" error="Допускается ввод только неотрицательных целых чисел!" sqref="AF89">
      <formula1>0</formula1>
      <formula2>9.99999999999999E+23</formula2>
    </dataValidation>
    <dataValidation type="decimal" allowBlank="1" showErrorMessage="1" errorTitle="Ошибка" error="Допускается ввод только неотрицательных чисел!" sqref="AE89">
      <formula1>0</formula1>
      <formula2>9.99999999999999E+23</formula2>
    </dataValidation>
    <dataValidation type="decimal" allowBlank="1" showErrorMessage="1" errorTitle="Ошибка" error="Допускается ввод только неотрицательных чисел!" sqref="AC89">
      <formula1>0</formula1>
      <formula2>9.99999999999999E+23</formula2>
    </dataValidation>
    <dataValidation type="textLength" operator="lessThanOrEqual" allowBlank="1" showInputMessage="1" showErrorMessage="1" errorTitle="Ошибка" error="Допускается ввод не более 900 символов!" sqref="K8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9">
      <formula1>"a"</formula1>
    </dataValidation>
    <dataValidation type="whole" allowBlank="1" showErrorMessage="1" errorTitle="Ошибка" error="Допускается ввод только неотрицательных целых чисел!" sqref="AI98">
      <formula1>0</formula1>
      <formula2>9.99999999999999E+23</formula2>
    </dataValidation>
    <dataValidation type="whole" allowBlank="1" showErrorMessage="1" errorTitle="Ошибка" error="Допускается ввод только неотрицательных целых чисел!" sqref="AF98">
      <formula1>0</formula1>
      <formula2>9.99999999999999E+23</formula2>
    </dataValidation>
    <dataValidation type="whole" allowBlank="1" showErrorMessage="1" errorTitle="Ошибка" error="Допускается ввод только неотрицательных целых чисел!" sqref="AI97">
      <formula1>0</formula1>
      <formula2>9.99999999999999E+23</formula2>
    </dataValidation>
    <dataValidation type="whole" allowBlank="1" showErrorMessage="1" errorTitle="Ошибка" error="Допускается ввод только неотрицательных целых чисел!" sqref="AF97">
      <formula1>0</formula1>
      <formula2>9.99999999999999E+23</formula2>
    </dataValidation>
    <dataValidation type="textLength" operator="lessThanOrEqual" allowBlank="1" showInputMessage="1" showErrorMessage="1" errorTitle="Ошибка" error="Допускается ввод не более 900 символов!" sqref="K9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7">
      <formula1>"a"</formula1>
    </dataValidation>
    <dataValidation type="whole" allowBlank="1" showErrorMessage="1" errorTitle="Ошибка" error="Допускается ввод только неотрицательных целых чисел!" sqref="AI94">
      <formula1>0</formula1>
      <formula2>9.99999999999999E+23</formula2>
    </dataValidation>
    <dataValidation type="whole" allowBlank="1" showErrorMessage="1" errorTitle="Ошибка" error="Допускается ввод только неотрицательных целых чисел!" sqref="AF94">
      <formula1>0</formula1>
      <formula2>9.99999999999999E+23</formula2>
    </dataValidation>
    <dataValidation type="decimal" allowBlank="1" showErrorMessage="1" errorTitle="Ошибка" error="Допускается ввод только неотрицательных чисел!" sqref="AE94">
      <formula1>0</formula1>
      <formula2>9.99999999999999E+23</formula2>
    </dataValidation>
    <dataValidation type="decimal" allowBlank="1" showErrorMessage="1" errorTitle="Ошибка" error="Допускается ввод только неотрицательных чисел!" sqref="AC94">
      <formula1>0</formula1>
      <formula2>9.99999999999999E+23</formula2>
    </dataValidation>
    <dataValidation type="textLength" operator="lessThanOrEqual" allowBlank="1" showInputMessage="1" showErrorMessage="1" errorTitle="Ошибка" error="Допускается ввод не более 900 символов!" sqref="K9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4">
      <formula1>"a"</formula1>
    </dataValidation>
    <dataValidation type="whole" allowBlank="1" showErrorMessage="1" errorTitle="Ошибка" error="Допускается ввод только неотрицательных целых чисел!" sqref="AI93">
      <formula1>0</formula1>
      <formula2>9.99999999999999E+23</formula2>
    </dataValidation>
    <dataValidation type="whole" allowBlank="1" showErrorMessage="1" errorTitle="Ошибка" error="Допускается ввод только неотрицательных целых чисел!" sqref="AF93">
      <formula1>0</formula1>
      <formula2>9.99999999999999E+23</formula2>
    </dataValidation>
    <dataValidation type="textLength" operator="lessThanOrEqual" allowBlank="1" showInputMessage="1" showErrorMessage="1" errorTitle="Ошибка" error="Допускается ввод не более 900 символов!" sqref="K9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3">
      <formula1>"a"</formula1>
    </dataValidation>
    <dataValidation type="whole" allowBlank="1" showErrorMessage="1" errorTitle="Ошибка" error="Допускается ввод только неотрицательных целых чисел!" sqref="AI92">
      <formula1>0</formula1>
      <formula2>9.99999999999999E+23</formula2>
    </dataValidation>
    <dataValidation type="whole" allowBlank="1" showErrorMessage="1" errorTitle="Ошибка" error="Допускается ввод только неотрицательных целых чисел!" sqref="AF92">
      <formula1>0</formula1>
      <formula2>9.99999999999999E+23</formula2>
    </dataValidation>
    <dataValidation type="textLength" operator="lessThanOrEqual" allowBlank="1" showInputMessage="1" showErrorMessage="1" errorTitle="Ошибка" error="Допускается ввод не более 900 символов!" sqref="M92">
      <formula1>900</formula1>
    </dataValidation>
    <dataValidation type="textLength" operator="lessThanOrEqual" allowBlank="1" showInputMessage="1" showErrorMessage="1" errorTitle="Ошибка" error="Допускается ввод не более 900 символов!" sqref="K9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2">
      <formula1>"a"</formula1>
    </dataValidation>
    <dataValidation type="whole" allowBlank="1" showErrorMessage="1" errorTitle="Ошибка" error="Допускается ввод только неотрицательных целых чисел!" sqref="AI91">
      <formula1>0</formula1>
      <formula2>9.99999999999999E+23</formula2>
    </dataValidation>
    <dataValidation type="whole" allowBlank="1" showErrorMessage="1" errorTitle="Ошибка" error="Допускается ввод только неотрицательных целых чисел!" sqref="AF91">
      <formula1>0</formula1>
      <formula2>9.99999999999999E+23</formula2>
    </dataValidation>
    <dataValidation type="whole" allowBlank="1" showErrorMessage="1" errorTitle="Ошибка" error="Допускается ввод только неотрицательных целых чисел!" sqref="AI90">
      <formula1>0</formula1>
      <formula2>9.99999999999999E+23</formula2>
    </dataValidation>
    <dataValidation type="whole" allowBlank="1" showErrorMessage="1" errorTitle="Ошибка" error="Допускается ввод только неотрицательных целых чисел!" sqref="AF90">
      <formula1>0</formula1>
      <formula2>9.99999999999999E+23</formula2>
    </dataValidation>
    <dataValidation type="textLength" operator="lessThanOrEqual" allowBlank="1" showInputMessage="1" showErrorMessage="1" errorTitle="Ошибка" error="Допускается ввод не более 900 символов!" sqref="K9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0">
      <formula1>"a"</formula1>
    </dataValidation>
    <dataValidation type="whole" allowBlank="1" showErrorMessage="1" errorTitle="Ошибка" error="Допускается ввод только неотрицательных целых чисел!" sqref="AI88">
      <formula1>0</formula1>
      <formula2>9.99999999999999E+23</formula2>
    </dataValidation>
    <dataValidation type="whole" allowBlank="1" showErrorMessage="1" errorTitle="Ошибка" error="Допускается ввод только неотрицательных целых чисел!" sqref="AF88">
      <formula1>0</formula1>
      <formula2>9.99999999999999E+23</formula2>
    </dataValidation>
    <dataValidation type="decimal" allowBlank="1" showErrorMessage="1" errorTitle="Ошибка" error="Допускается ввод только неотрицательных чисел!" sqref="AE88">
      <formula1>0</formula1>
      <formula2>9.99999999999999E+23</formula2>
    </dataValidation>
    <dataValidation type="decimal" allowBlank="1" showErrorMessage="1" errorTitle="Ошибка" error="Допускается ввод только неотрицательных чисел!" sqref="AC88">
      <formula1>0</formula1>
      <formula2>9.99999999999999E+23</formula2>
    </dataValidation>
    <dataValidation type="textLength" operator="lessThanOrEqual" allowBlank="1" showInputMessage="1" showErrorMessage="1" errorTitle="Ошибка" error="Допускается ввод не более 900 символов!" sqref="K8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8">
      <formula1>"a"</formula1>
    </dataValidation>
    <dataValidation type="whole" allowBlank="1" showErrorMessage="1" errorTitle="Ошибка" error="Допускается ввод только неотрицательных целых чисел!" sqref="AI87">
      <formula1>0</formula1>
      <formula2>9.99999999999999E+23</formula2>
    </dataValidation>
    <dataValidation type="whole" allowBlank="1" showErrorMessage="1" errorTitle="Ошибка" error="Допускается ввод только неотрицательных целых чисел!" sqref="AF87">
      <formula1>0</formula1>
      <formula2>9.99999999999999E+23</formula2>
    </dataValidation>
    <dataValidation type="textLength" operator="lessThanOrEqual" allowBlank="1" showInputMessage="1" showErrorMessage="1" errorTitle="Ошибка" error="Допускается ввод не более 900 символов!" sqref="K8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7">
      <formula1>"a"</formula1>
    </dataValidation>
    <dataValidation type="whole" allowBlank="1" showErrorMessage="1" errorTitle="Ошибка" error="Допускается ввод только неотрицательных целых чисел!" sqref="AI86">
      <formula1>0</formula1>
      <formula2>9.99999999999999E+23</formula2>
    </dataValidation>
    <dataValidation type="whole" allowBlank="1" showErrorMessage="1" errorTitle="Ошибка" error="Допускается ввод только неотрицательных целых чисел!" sqref="AF86">
      <formula1>0</formula1>
      <formula2>9.99999999999999E+23</formula2>
    </dataValidation>
    <dataValidation type="textLength" operator="lessThanOrEqual" allowBlank="1" showInputMessage="1" showErrorMessage="1" errorTitle="Ошибка" error="Допускается ввод не более 900 символов!" sqref="M86">
      <formula1>900</formula1>
    </dataValidation>
    <dataValidation type="textLength" operator="lessThanOrEqual" allowBlank="1" showInputMessage="1" showErrorMessage="1" errorTitle="Ошибка" error="Допускается ввод не более 900 символов!" sqref="K8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
      <formula1>"a"</formula1>
    </dataValidation>
    <dataValidation type="textLength" operator="lessThanOrEqual" allowBlank="1" showInputMessage="1" showErrorMessage="1" errorTitle="Ошибка" error="Допускается ввод не более 900 символов!" sqref="K15">
      <formula1>900</formula1>
    </dataValidation>
    <dataValidation type="textLength" operator="lessThanOrEqual" allowBlank="1" showInputMessage="1" showErrorMessage="1" errorTitle="Ошибка" error="Допускается ввод не более 900 символов!" sqref="M15">
      <formula1>900</formula1>
    </dataValidation>
    <dataValidation type="whole" allowBlank="1" showErrorMessage="1" errorTitle="Ошибка" error="Допускается ввод только неотрицательных целых чисел!" sqref="AF15">
      <formula1>0</formula1>
      <formula2>9.99999999999999E+23</formula2>
    </dataValidation>
    <dataValidation type="whole" allowBlank="1" showErrorMessage="1" errorTitle="Ошибка" error="Допускается ввод только неотрицательных целых чисел!" sqref="AI1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
      <formula1>"a"</formula1>
    </dataValidation>
    <dataValidation type="textLength" operator="lessThanOrEqual" allowBlank="1" showInputMessage="1" showErrorMessage="1" errorTitle="Ошибка" error="Допускается ввод не более 900 символов!" sqref="K16">
      <formula1>900</formula1>
    </dataValidation>
    <dataValidation type="whole" allowBlank="1" showErrorMessage="1" errorTitle="Ошибка" error="Допускается ввод только неотрицательных целых чисел!" sqref="AF16">
      <formula1>0</formula1>
      <formula2>9.99999999999999E+23</formula2>
    </dataValidation>
    <dataValidation type="whole" allowBlank="1" showErrorMessage="1" errorTitle="Ошибка" error="Допускается ввод только неотрицательных целых чисел!" sqref="AI1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
      <formula1>"a"</formula1>
    </dataValidation>
    <dataValidation type="textLength" operator="lessThanOrEqual" allowBlank="1" showInputMessage="1" showErrorMessage="1" errorTitle="Ошибка" error="Допускается ввод не более 900 символов!" sqref="K17">
      <formula1>900</formula1>
    </dataValidation>
    <dataValidation type="decimal" allowBlank="1" showErrorMessage="1" errorTitle="Ошибка" error="Допускается ввод только неотрицательных чисел!" sqref="AC17">
      <formula1>0</formula1>
      <formula2>9.99999999999999E+23</formula2>
    </dataValidation>
    <dataValidation type="decimal" allowBlank="1" showErrorMessage="1" errorTitle="Ошибка" error="Допускается ввод только неотрицательных чисел!" sqref="AE17">
      <formula1>0</formula1>
      <formula2>9.99999999999999E+23</formula2>
    </dataValidation>
    <dataValidation type="whole" allowBlank="1" showErrorMessage="1" errorTitle="Ошибка" error="Допускается ввод только неотрицательных целых чисел!" sqref="AF17">
      <formula1>0</formula1>
      <formula2>9.99999999999999E+23</formula2>
    </dataValidation>
    <dataValidation type="whole" allowBlank="1" showErrorMessage="1" errorTitle="Ошибка" error="Допускается ввод только неотрицательных целых чисел!" sqref="AI1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8">
      <formula1>"a"</formula1>
    </dataValidation>
    <dataValidation type="textLength" operator="lessThanOrEqual" allowBlank="1" showInputMessage="1" showErrorMessage="1" errorTitle="Ошибка" error="Допускается ввод не более 900 символов!" sqref="K18">
      <formula1>900</formula1>
    </dataValidation>
    <dataValidation type="whole" allowBlank="1" showErrorMessage="1" errorTitle="Ошибка" error="Допускается ввод только неотрицательных целых чисел!" sqref="AF18">
      <formula1>0</formula1>
      <formula2>9.99999999999999E+23</formula2>
    </dataValidation>
    <dataValidation type="whole" allowBlank="1" showErrorMessage="1" errorTitle="Ошибка" error="Допускается ввод только неотрицательных целых чисел!" sqref="AI18">
      <formula1>0</formula1>
      <formula2>9.99999999999999E+23</formula2>
    </dataValidation>
    <dataValidation type="whole" allowBlank="1" showErrorMessage="1" errorTitle="Ошибка" error="Допускается ввод только неотрицательных целых чисел!" sqref="AF19">
      <formula1>0</formula1>
      <formula2>9.99999999999999E+23</formula2>
    </dataValidation>
    <dataValidation type="whole" allowBlank="1" showErrorMessage="1" errorTitle="Ошибка" error="Допускается ввод только неотрицательных целых чисел!" sqref="AI1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1">
      <formula1>"a"</formula1>
    </dataValidation>
    <dataValidation type="textLength" operator="lessThanOrEqual" allowBlank="1" showInputMessage="1" showErrorMessage="1" errorTitle="Ошибка" error="Допускается ввод не более 900 символов!" sqref="K21">
      <formula1>900</formula1>
    </dataValidation>
    <dataValidation type="textLength" operator="lessThanOrEqual" allowBlank="1" showInputMessage="1" showErrorMessage="1" errorTitle="Ошибка" error="Допускается ввод не более 900 символов!" sqref="M21">
      <formula1>900</formula1>
    </dataValidation>
    <dataValidation type="whole" allowBlank="1" showErrorMessage="1" errorTitle="Ошибка" error="Допускается ввод только неотрицательных целых чисел!" sqref="AF21">
      <formula1>0</formula1>
      <formula2>9.99999999999999E+23</formula2>
    </dataValidation>
    <dataValidation type="whole" allowBlank="1" showErrorMessage="1" errorTitle="Ошибка" error="Допускается ввод только неотрицательных целых чисел!" sqref="AI2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2">
      <formula1>"a"</formula1>
    </dataValidation>
    <dataValidation type="textLength" operator="lessThanOrEqual" allowBlank="1" showInputMessage="1" showErrorMessage="1" errorTitle="Ошибка" error="Допускается ввод не более 900 символов!" sqref="K22">
      <formula1>900</formula1>
    </dataValidation>
    <dataValidation type="whole" allowBlank="1" showErrorMessage="1" errorTitle="Ошибка" error="Допускается ввод только неотрицательных целых чисел!" sqref="AF22">
      <formula1>0</formula1>
      <formula2>9.99999999999999E+23</formula2>
    </dataValidation>
    <dataValidation type="whole" allowBlank="1" showErrorMessage="1" errorTitle="Ошибка" error="Допускается ввод только неотрицательных целых чисел!" sqref="AI2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3">
      <formula1>"a"</formula1>
    </dataValidation>
    <dataValidation type="textLength" operator="lessThanOrEqual" allowBlank="1" showInputMessage="1" showErrorMessage="1" errorTitle="Ошибка" error="Допускается ввод не более 900 символов!" sqref="K23">
      <formula1>900</formula1>
    </dataValidation>
    <dataValidation type="decimal" allowBlank="1" showErrorMessage="1" errorTitle="Ошибка" error="Допускается ввод только неотрицательных чисел!" sqref="AC23">
      <formula1>0</formula1>
      <formula2>9.99999999999999E+23</formula2>
    </dataValidation>
    <dataValidation type="decimal" allowBlank="1" showErrorMessage="1" errorTitle="Ошибка" error="Допускается ввод только неотрицательных чисел!" sqref="AE23">
      <formula1>0</formula1>
      <formula2>9.99999999999999E+23</formula2>
    </dataValidation>
    <dataValidation type="whole" allowBlank="1" showErrorMessage="1" errorTitle="Ошибка" error="Допускается ввод только неотрицательных целых чисел!" sqref="AF23">
      <formula1>0</formula1>
      <formula2>9.99999999999999E+23</formula2>
    </dataValidation>
    <dataValidation type="whole" allowBlank="1" showErrorMessage="1" errorTitle="Ошибка" error="Допускается ввод только неотрицательных целых чисел!" sqref="AI2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4">
      <formula1>"a"</formula1>
    </dataValidation>
    <dataValidation type="textLength" operator="lessThanOrEqual" allowBlank="1" showInputMessage="1" showErrorMessage="1" errorTitle="Ошибка" error="Допускается ввод не более 900 символов!" sqref="K24">
      <formula1>900</formula1>
    </dataValidation>
    <dataValidation type="whole" allowBlank="1" showErrorMessage="1" errorTitle="Ошибка" error="Допускается ввод только неотрицательных целых чисел!" sqref="AF24">
      <formula1>0</formula1>
      <formula2>9.99999999999999E+23</formula2>
    </dataValidation>
    <dataValidation type="whole" allowBlank="1" showErrorMessage="1" errorTitle="Ошибка" error="Допускается ввод только неотрицательных целых чисел!" sqref="AI24">
      <formula1>0</formula1>
      <formula2>9.99999999999999E+23</formula2>
    </dataValidation>
    <dataValidation type="whole" allowBlank="1" showErrorMessage="1" errorTitle="Ошибка" error="Допускается ввод только неотрицательных целых чисел!" sqref="AF25">
      <formula1>0</formula1>
      <formula2>9.99999999999999E+23</formula2>
    </dataValidation>
    <dataValidation type="whole" allowBlank="1" showErrorMessage="1" errorTitle="Ошибка" error="Допускается ввод только неотрицательных целых чисел!" sqref="AI2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7">
      <formula1>"a"</formula1>
    </dataValidation>
    <dataValidation type="textLength" operator="lessThanOrEqual" allowBlank="1" showInputMessage="1" showErrorMessage="1" errorTitle="Ошибка" error="Допускается ввод не более 900 символов!" sqref="K27">
      <formula1>900</formula1>
    </dataValidation>
    <dataValidation type="textLength" operator="lessThanOrEqual" allowBlank="1" showInputMessage="1" showErrorMessage="1" errorTitle="Ошибка" error="Допускается ввод не более 900 символов!" sqref="M27">
      <formula1>900</formula1>
    </dataValidation>
    <dataValidation type="whole" allowBlank="1" showErrorMessage="1" errorTitle="Ошибка" error="Допускается ввод только неотрицательных целых чисел!" sqref="AF27">
      <formula1>0</formula1>
      <formula2>9.99999999999999E+23</formula2>
    </dataValidation>
    <dataValidation type="whole" allowBlank="1" showErrorMessage="1" errorTitle="Ошибка" error="Допускается ввод только неотрицательных целых чисел!" sqref="AI2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8">
      <formula1>"a"</formula1>
    </dataValidation>
    <dataValidation type="textLength" operator="lessThanOrEqual" allowBlank="1" showInputMessage="1" showErrorMessage="1" errorTitle="Ошибка" error="Допускается ввод не более 900 символов!" sqref="K28">
      <formula1>900</formula1>
    </dataValidation>
    <dataValidation type="whole" allowBlank="1" showErrorMessage="1" errorTitle="Ошибка" error="Допускается ввод только неотрицательных целых чисел!" sqref="AF28">
      <formula1>0</formula1>
      <formula2>9.99999999999999E+23</formula2>
    </dataValidation>
    <dataValidation type="whole" allowBlank="1" showErrorMessage="1" errorTitle="Ошибка" error="Допускается ввод только неотрицательных целых чисел!" sqref="AI2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9">
      <formula1>"a"</formula1>
    </dataValidation>
    <dataValidation type="textLength" operator="lessThanOrEqual" allowBlank="1" showInputMessage="1" showErrorMessage="1" errorTitle="Ошибка" error="Допускается ввод не более 900 символов!" sqref="K29">
      <formula1>900</formula1>
    </dataValidation>
    <dataValidation type="decimal" allowBlank="1" showErrorMessage="1" errorTitle="Ошибка" error="Допускается ввод только неотрицательных чисел!" sqref="AC29">
      <formula1>0</formula1>
      <formula2>9.99999999999999E+23</formula2>
    </dataValidation>
    <dataValidation type="decimal" allowBlank="1" showErrorMessage="1" errorTitle="Ошибка" error="Допускается ввод только неотрицательных чисел!" sqref="AE29">
      <formula1>0</formula1>
      <formula2>9.99999999999999E+23</formula2>
    </dataValidation>
    <dataValidation type="whole" allowBlank="1" showErrorMessage="1" errorTitle="Ошибка" error="Допускается ввод только неотрицательных целых чисел!" sqref="AF29">
      <formula1>0</formula1>
      <formula2>9.99999999999999E+23</formula2>
    </dataValidation>
    <dataValidation type="whole" allowBlank="1" showErrorMessage="1" errorTitle="Ошибка" error="Допускается ввод только неотрицательных целых чисел!" sqref="AI2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0">
      <formula1>"a"</formula1>
    </dataValidation>
    <dataValidation type="textLength" operator="lessThanOrEqual" allowBlank="1" showInputMessage="1" showErrorMessage="1" errorTitle="Ошибка" error="Допускается ввод не более 900 символов!" sqref="K30">
      <formula1>900</formula1>
    </dataValidation>
    <dataValidation type="whole" allowBlank="1" showErrorMessage="1" errorTitle="Ошибка" error="Допускается ввод только неотрицательных целых чисел!" sqref="AF30">
      <formula1>0</formula1>
      <formula2>9.99999999999999E+23</formula2>
    </dataValidation>
    <dataValidation type="whole" allowBlank="1" showErrorMessage="1" errorTitle="Ошибка" error="Допускается ввод только неотрицательных целых чисел!" sqref="AI30">
      <formula1>0</formula1>
      <formula2>9.99999999999999E+23</formula2>
    </dataValidation>
    <dataValidation type="whole" allowBlank="1" showErrorMessage="1" errorTitle="Ошибка" error="Допускается ввод только неотрицательных целых чисел!" sqref="AF31">
      <formula1>0</formula1>
      <formula2>9.99999999999999E+23</formula2>
    </dataValidation>
    <dataValidation type="whole" allowBlank="1" showErrorMessage="1" errorTitle="Ошибка" error="Допускается ввод только неотрицательных целых чисел!" sqref="AI3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3">
      <formula1>"a"</formula1>
    </dataValidation>
    <dataValidation type="textLength" operator="lessThanOrEqual" allowBlank="1" showInputMessage="1" showErrorMessage="1" errorTitle="Ошибка" error="Допускается ввод не более 900 символов!" sqref="K33">
      <formula1>900</formula1>
    </dataValidation>
    <dataValidation type="textLength" operator="lessThanOrEqual" allowBlank="1" showInputMessage="1" showErrorMessage="1" errorTitle="Ошибка" error="Допускается ввод не более 900 символов!" sqref="M33">
      <formula1>900</formula1>
    </dataValidation>
    <dataValidation type="whole" allowBlank="1" showErrorMessage="1" errorTitle="Ошибка" error="Допускается ввод только неотрицательных целых чисел!" sqref="AF33">
      <formula1>0</formula1>
      <formula2>9.99999999999999E+23</formula2>
    </dataValidation>
    <dataValidation type="whole" allowBlank="1" showErrorMessage="1" errorTitle="Ошибка" error="Допускается ввод только неотрицательных целых чисел!" sqref="AI3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4">
      <formula1>"a"</formula1>
    </dataValidation>
    <dataValidation type="textLength" operator="lessThanOrEqual" allowBlank="1" showInputMessage="1" showErrorMessage="1" errorTitle="Ошибка" error="Допускается ввод не более 900 символов!" sqref="K34">
      <formula1>900</formula1>
    </dataValidation>
    <dataValidation type="whole" allowBlank="1" showErrorMessage="1" errorTitle="Ошибка" error="Допускается ввод только неотрицательных целых чисел!" sqref="AF34">
      <formula1>0</formula1>
      <formula2>9.99999999999999E+23</formula2>
    </dataValidation>
    <dataValidation type="whole" allowBlank="1" showErrorMessage="1" errorTitle="Ошибка" error="Допускается ввод только неотрицательных целых чисел!" sqref="AI3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5">
      <formula1>"a"</formula1>
    </dataValidation>
    <dataValidation type="textLength" operator="lessThanOrEqual" allowBlank="1" showInputMessage="1" showErrorMessage="1" errorTitle="Ошибка" error="Допускается ввод не более 900 символов!" sqref="K35">
      <formula1>900</formula1>
    </dataValidation>
    <dataValidation type="decimal" allowBlank="1" showErrorMessage="1" errorTitle="Ошибка" error="Допускается ввод только неотрицательных чисел!" sqref="AC35">
      <formula1>0</formula1>
      <formula2>9.99999999999999E+23</formula2>
    </dataValidation>
    <dataValidation type="decimal" allowBlank="1" showErrorMessage="1" errorTitle="Ошибка" error="Допускается ввод только неотрицательных чисел!" sqref="AE35">
      <formula1>0</formula1>
      <formula2>9.99999999999999E+23</formula2>
    </dataValidation>
    <dataValidation type="whole" allowBlank="1" showErrorMessage="1" errorTitle="Ошибка" error="Допускается ввод только неотрицательных целых чисел!" sqref="AF35">
      <formula1>0</formula1>
      <formula2>9.99999999999999E+23</formula2>
    </dataValidation>
    <dataValidation type="whole" allowBlank="1" showErrorMessage="1" errorTitle="Ошибка" error="Допускается ввод только неотрицательных целых чисел!" sqref="AI3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6">
      <formula1>"a"</formula1>
    </dataValidation>
    <dataValidation type="textLength" operator="lessThanOrEqual" allowBlank="1" showInputMessage="1" showErrorMessage="1" errorTitle="Ошибка" error="Допускается ввод не более 900 символов!" sqref="K36">
      <formula1>900</formula1>
    </dataValidation>
    <dataValidation type="whole" allowBlank="1" showErrorMessage="1" errorTitle="Ошибка" error="Допускается ввод только неотрицательных целых чисел!" sqref="AF36">
      <formula1>0</formula1>
      <formula2>9.99999999999999E+23</formula2>
    </dataValidation>
    <dataValidation type="whole" allowBlank="1" showErrorMessage="1" errorTitle="Ошибка" error="Допускается ввод только неотрицательных целых чисел!" sqref="AI36">
      <formula1>0</formula1>
      <formula2>9.99999999999999E+23</formula2>
    </dataValidation>
    <dataValidation type="whole" allowBlank="1" showErrorMessage="1" errorTitle="Ошибка" error="Допускается ввод только неотрицательных целых чисел!" sqref="AF37">
      <formula1>0</formula1>
      <formula2>9.99999999999999E+23</formula2>
    </dataValidation>
    <dataValidation type="whole" allowBlank="1" showErrorMessage="1" errorTitle="Ошибка" error="Допускается ввод только неотрицательных целых чисел!" sqref="AI3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9">
      <formula1>"a"</formula1>
    </dataValidation>
    <dataValidation type="textLength" operator="lessThanOrEqual" allowBlank="1" showInputMessage="1" showErrorMessage="1" errorTitle="Ошибка" error="Допускается ввод не более 900 символов!" sqref="K39">
      <formula1>900</formula1>
    </dataValidation>
    <dataValidation type="textLength" operator="lessThanOrEqual" allowBlank="1" showInputMessage="1" showErrorMessage="1" errorTitle="Ошибка" error="Допускается ввод не более 900 символов!" sqref="M39">
      <formula1>900</formula1>
    </dataValidation>
    <dataValidation type="whole" allowBlank="1" showErrorMessage="1" errorTitle="Ошибка" error="Допускается ввод только неотрицательных целых чисел!" sqref="AF39">
      <formula1>0</formula1>
      <formula2>9.99999999999999E+23</formula2>
    </dataValidation>
    <dataValidation type="whole" allowBlank="1" showErrorMessage="1" errorTitle="Ошибка" error="Допускается ввод только неотрицательных целых чисел!" sqref="AI3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0">
      <formula1>"a"</formula1>
    </dataValidation>
    <dataValidation type="textLength" operator="lessThanOrEqual" allowBlank="1" showInputMessage="1" showErrorMessage="1" errorTitle="Ошибка" error="Допускается ввод не более 900 символов!" sqref="K40">
      <formula1>900</formula1>
    </dataValidation>
    <dataValidation type="whole" allowBlank="1" showErrorMessage="1" errorTitle="Ошибка" error="Допускается ввод только неотрицательных целых чисел!" sqref="AF40">
      <formula1>0</formula1>
      <formula2>9.99999999999999E+23</formula2>
    </dataValidation>
    <dataValidation type="whole" allowBlank="1" showErrorMessage="1" errorTitle="Ошибка" error="Допускается ввод только неотрицательных целых чисел!" sqref="AI4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1">
      <formula1>"a"</formula1>
    </dataValidation>
    <dataValidation type="textLength" operator="lessThanOrEqual" allowBlank="1" showInputMessage="1" showErrorMessage="1" errorTitle="Ошибка" error="Допускается ввод не более 900 символов!" sqref="K41">
      <formula1>900</formula1>
    </dataValidation>
    <dataValidation type="decimal" allowBlank="1" showErrorMessage="1" errorTitle="Ошибка" error="Допускается ввод только неотрицательных чисел!" sqref="AC41">
      <formula1>0</formula1>
      <formula2>9.99999999999999E+23</formula2>
    </dataValidation>
    <dataValidation type="decimal" allowBlank="1" showErrorMessage="1" errorTitle="Ошибка" error="Допускается ввод только неотрицательных чисел!" sqref="AE41">
      <formula1>0</formula1>
      <formula2>9.99999999999999E+23</formula2>
    </dataValidation>
    <dataValidation type="whole" allowBlank="1" showErrorMessage="1" errorTitle="Ошибка" error="Допускается ввод только неотрицательных целых чисел!" sqref="AF41">
      <formula1>0</formula1>
      <formula2>9.99999999999999E+23</formula2>
    </dataValidation>
    <dataValidation type="whole" allowBlank="1" showErrorMessage="1" errorTitle="Ошибка" error="Допускается ввод только неотрицательных целых чисел!" sqref="AI4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2">
      <formula1>"a"</formula1>
    </dataValidation>
    <dataValidation type="textLength" operator="lessThanOrEqual" allowBlank="1" showInputMessage="1" showErrorMessage="1" errorTitle="Ошибка" error="Допускается ввод не более 900 символов!" sqref="K42">
      <formula1>900</formula1>
    </dataValidation>
    <dataValidation type="whole" allowBlank="1" showErrorMessage="1" errorTitle="Ошибка" error="Допускается ввод только неотрицательных целых чисел!" sqref="AF42">
      <formula1>0</formula1>
      <formula2>9.99999999999999E+23</formula2>
    </dataValidation>
    <dataValidation type="whole" allowBlank="1" showErrorMessage="1" errorTitle="Ошибка" error="Допускается ввод только неотрицательных целых чисел!" sqref="AI42">
      <formula1>0</formula1>
      <formula2>9.99999999999999E+23</formula2>
    </dataValidation>
    <dataValidation type="whole" allowBlank="1" showErrorMessage="1" errorTitle="Ошибка" error="Допускается ввод только неотрицательных целых чисел!" sqref="AF43">
      <formula1>0</formula1>
      <formula2>9.99999999999999E+23</formula2>
    </dataValidation>
    <dataValidation type="whole" allowBlank="1" showErrorMessage="1" errorTitle="Ошибка" error="Допускается ввод только неотрицательных целых чисел!" sqref="AI4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5">
      <formula1>"a"</formula1>
    </dataValidation>
    <dataValidation type="textLength" operator="lessThanOrEqual" allowBlank="1" showInputMessage="1" showErrorMessage="1" errorTitle="Ошибка" error="Допускается ввод не более 900 символов!" sqref="K45">
      <formula1>900</formula1>
    </dataValidation>
    <dataValidation type="textLength" operator="lessThanOrEqual" allowBlank="1" showInputMessage="1" showErrorMessage="1" errorTitle="Ошибка" error="Допускается ввод не более 900 символов!" sqref="M45">
      <formula1>900</formula1>
    </dataValidation>
    <dataValidation type="whole" allowBlank="1" showErrorMessage="1" errorTitle="Ошибка" error="Допускается ввод только неотрицательных целых чисел!" sqref="AF45">
      <formula1>0</formula1>
      <formula2>9.99999999999999E+23</formula2>
    </dataValidation>
    <dataValidation type="whole" allowBlank="1" showErrorMessage="1" errorTitle="Ошибка" error="Допускается ввод только неотрицательных целых чисел!" sqref="AI4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6">
      <formula1>"a"</formula1>
    </dataValidation>
    <dataValidation type="textLength" operator="lessThanOrEqual" allowBlank="1" showInputMessage="1" showErrorMessage="1" errorTitle="Ошибка" error="Допускается ввод не более 900 символов!" sqref="K46">
      <formula1>900</formula1>
    </dataValidation>
    <dataValidation type="whole" allowBlank="1" showErrorMessage="1" errorTitle="Ошибка" error="Допускается ввод только неотрицательных целых чисел!" sqref="AF46">
      <formula1>0</formula1>
      <formula2>9.99999999999999E+23</formula2>
    </dataValidation>
    <dataValidation type="whole" allowBlank="1" showErrorMessage="1" errorTitle="Ошибка" error="Допускается ввод только неотрицательных целых чисел!" sqref="AI4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7">
      <formula1>"a"</formula1>
    </dataValidation>
    <dataValidation type="textLength" operator="lessThanOrEqual" allowBlank="1" showInputMessage="1" showErrorMessage="1" errorTitle="Ошибка" error="Допускается ввод не более 900 символов!" sqref="K47">
      <formula1>900</formula1>
    </dataValidation>
    <dataValidation type="decimal" allowBlank="1" showErrorMessage="1" errorTitle="Ошибка" error="Допускается ввод только неотрицательных чисел!" sqref="AC47">
      <formula1>0</formula1>
      <formula2>9.99999999999999E+23</formula2>
    </dataValidation>
    <dataValidation type="decimal" allowBlank="1" showErrorMessage="1" errorTitle="Ошибка" error="Допускается ввод только неотрицательных чисел!" sqref="AE47">
      <formula1>0</formula1>
      <formula2>9.99999999999999E+23</formula2>
    </dataValidation>
    <dataValidation type="whole" allowBlank="1" showErrorMessage="1" errorTitle="Ошибка" error="Допускается ввод только неотрицательных целых чисел!" sqref="AF47">
      <formula1>0</formula1>
      <formula2>9.99999999999999E+23</formula2>
    </dataValidation>
    <dataValidation type="whole" allowBlank="1" showErrorMessage="1" errorTitle="Ошибка" error="Допускается ввод только неотрицательных целых чисел!" sqref="AI4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8">
      <formula1>"a"</formula1>
    </dataValidation>
    <dataValidation type="textLength" operator="lessThanOrEqual" allowBlank="1" showInputMessage="1" showErrorMessage="1" errorTitle="Ошибка" error="Допускается ввод не более 900 символов!" sqref="K48">
      <formula1>900</formula1>
    </dataValidation>
    <dataValidation type="whole" allowBlank="1" showErrorMessage="1" errorTitle="Ошибка" error="Допускается ввод только неотрицательных целых чисел!" sqref="AF48">
      <formula1>0</formula1>
      <formula2>9.99999999999999E+23</formula2>
    </dataValidation>
    <dataValidation type="whole" allowBlank="1" showErrorMessage="1" errorTitle="Ошибка" error="Допускается ввод только неотрицательных целых чисел!" sqref="AI48">
      <formula1>0</formula1>
      <formula2>9.99999999999999E+23</formula2>
    </dataValidation>
    <dataValidation type="whole" allowBlank="1" showErrorMessage="1" errorTitle="Ошибка" error="Допускается ввод только неотрицательных целых чисел!" sqref="AF49">
      <formula1>0</formula1>
      <formula2>9.99999999999999E+23</formula2>
    </dataValidation>
    <dataValidation type="whole" allowBlank="1" showErrorMessage="1" errorTitle="Ошибка" error="Допускается ввод только неотрицательных целых чисел!" sqref="AI4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1">
      <formula1>"a"</formula1>
    </dataValidation>
    <dataValidation type="textLength" operator="lessThanOrEqual" allowBlank="1" showInputMessage="1" showErrorMessage="1" errorTitle="Ошибка" error="Допускается ввод не более 900 символов!" sqref="K51">
      <formula1>900</formula1>
    </dataValidation>
    <dataValidation type="textLength" operator="lessThanOrEqual" allowBlank="1" showInputMessage="1" showErrorMessage="1" errorTitle="Ошибка" error="Допускается ввод не более 900 символов!" sqref="M51">
      <formula1>900</formula1>
    </dataValidation>
    <dataValidation type="whole" allowBlank="1" showErrorMessage="1" errorTitle="Ошибка" error="Допускается ввод только неотрицательных целых чисел!" sqref="AF51">
      <formula1>0</formula1>
      <formula2>9.99999999999999E+23</formula2>
    </dataValidation>
    <dataValidation type="whole" allowBlank="1" showErrorMessage="1" errorTitle="Ошибка" error="Допускается ввод только неотрицательных целых чисел!" sqref="AI5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2">
      <formula1>"a"</formula1>
    </dataValidation>
    <dataValidation type="textLength" operator="lessThanOrEqual" allowBlank="1" showInputMessage="1" showErrorMessage="1" errorTitle="Ошибка" error="Допускается ввод не более 900 символов!" sqref="K52">
      <formula1>900</formula1>
    </dataValidation>
    <dataValidation type="whole" allowBlank="1" showErrorMessage="1" errorTitle="Ошибка" error="Допускается ввод только неотрицательных целых чисел!" sqref="AF52">
      <formula1>0</formula1>
      <formula2>9.99999999999999E+23</formula2>
    </dataValidation>
    <dataValidation type="whole" allowBlank="1" showErrorMessage="1" errorTitle="Ошибка" error="Допускается ввод только неотрицательных целых чисел!" sqref="AI5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3">
      <formula1>"a"</formula1>
    </dataValidation>
    <dataValidation type="textLength" operator="lessThanOrEqual" allowBlank="1" showInputMessage="1" showErrorMessage="1" errorTitle="Ошибка" error="Допускается ввод не более 900 символов!" sqref="K53">
      <formula1>900</formula1>
    </dataValidation>
    <dataValidation type="decimal" allowBlank="1" showErrorMessage="1" errorTitle="Ошибка" error="Допускается ввод только неотрицательных чисел!" sqref="AC53">
      <formula1>0</formula1>
      <formula2>9.99999999999999E+23</formula2>
    </dataValidation>
    <dataValidation type="decimal" allowBlank="1" showErrorMessage="1" errorTitle="Ошибка" error="Допускается ввод только неотрицательных чисел!" sqref="AE53">
      <formula1>0</formula1>
      <formula2>9.99999999999999E+23</formula2>
    </dataValidation>
    <dataValidation type="whole" allowBlank="1" showErrorMessage="1" errorTitle="Ошибка" error="Допускается ввод только неотрицательных целых чисел!" sqref="AF53">
      <formula1>0</formula1>
      <formula2>9.99999999999999E+23</formula2>
    </dataValidation>
    <dataValidation type="whole" allowBlank="1" showErrorMessage="1" errorTitle="Ошибка" error="Допускается ввод только неотрицательных целых чисел!" sqref="AI5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4">
      <formula1>"a"</formula1>
    </dataValidation>
    <dataValidation type="textLength" operator="lessThanOrEqual" allowBlank="1" showInputMessage="1" showErrorMessage="1" errorTitle="Ошибка" error="Допускается ввод не более 900 символов!" sqref="K54">
      <formula1>900</formula1>
    </dataValidation>
    <dataValidation type="whole" allowBlank="1" showErrorMessage="1" errorTitle="Ошибка" error="Допускается ввод только неотрицательных целых чисел!" sqref="AF54">
      <formula1>0</formula1>
      <formula2>9.99999999999999E+23</formula2>
    </dataValidation>
    <dataValidation type="whole" allowBlank="1" showErrorMessage="1" errorTitle="Ошибка" error="Допускается ввод только неотрицательных целых чисел!" sqref="AI54">
      <formula1>0</formula1>
      <formula2>9.99999999999999E+23</formula2>
    </dataValidation>
    <dataValidation type="whole" allowBlank="1" showErrorMessage="1" errorTitle="Ошибка" error="Допускается ввод только неотрицательных целых чисел!" sqref="AF55">
      <formula1>0</formula1>
      <formula2>9.99999999999999E+23</formula2>
    </dataValidation>
    <dataValidation type="whole" allowBlank="1" showErrorMessage="1" errorTitle="Ошибка" error="Допускается ввод только неотрицательных целых чисел!" sqref="AI5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7">
      <formula1>"a"</formula1>
    </dataValidation>
    <dataValidation type="textLength" operator="lessThanOrEqual" allowBlank="1" showInputMessage="1" showErrorMessage="1" errorTitle="Ошибка" error="Допускается ввод не более 900 символов!" sqref="K57">
      <formula1>900</formula1>
    </dataValidation>
    <dataValidation type="textLength" operator="lessThanOrEqual" allowBlank="1" showInputMessage="1" showErrorMessage="1" errorTitle="Ошибка" error="Допускается ввод не более 900 символов!" sqref="M57">
      <formula1>900</formula1>
    </dataValidation>
    <dataValidation type="whole" allowBlank="1" showErrorMessage="1" errorTitle="Ошибка" error="Допускается ввод только неотрицательных целых чисел!" sqref="AF57">
      <formula1>0</formula1>
      <formula2>9.99999999999999E+23</formula2>
    </dataValidation>
    <dataValidation type="whole" allowBlank="1" showErrorMessage="1" errorTitle="Ошибка" error="Допускается ввод только неотрицательных целых чисел!" sqref="AI5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8">
      <formula1>"a"</formula1>
    </dataValidation>
    <dataValidation type="textLength" operator="lessThanOrEqual" allowBlank="1" showInputMessage="1" showErrorMessage="1" errorTitle="Ошибка" error="Допускается ввод не более 900 символов!" sqref="K58">
      <formula1>900</formula1>
    </dataValidation>
    <dataValidation type="whole" allowBlank="1" showErrorMessage="1" errorTitle="Ошибка" error="Допускается ввод только неотрицательных целых чисел!" sqref="AF58">
      <formula1>0</formula1>
      <formula2>9.99999999999999E+23</formula2>
    </dataValidation>
    <dataValidation type="whole" allowBlank="1" showErrorMessage="1" errorTitle="Ошибка" error="Допускается ввод только неотрицательных целых чисел!" sqref="AI5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9">
      <formula1>"a"</formula1>
    </dataValidation>
    <dataValidation type="textLength" operator="lessThanOrEqual" allowBlank="1" showInputMessage="1" showErrorMessage="1" errorTitle="Ошибка" error="Допускается ввод не более 900 символов!" sqref="K59">
      <formula1>900</formula1>
    </dataValidation>
    <dataValidation type="decimal" allowBlank="1" showErrorMessage="1" errorTitle="Ошибка" error="Допускается ввод только неотрицательных чисел!" sqref="AC59">
      <formula1>0</formula1>
      <formula2>9.99999999999999E+23</formula2>
    </dataValidation>
    <dataValidation type="decimal" allowBlank="1" showErrorMessage="1" errorTitle="Ошибка" error="Допускается ввод только неотрицательных чисел!" sqref="AE59">
      <formula1>0</formula1>
      <formula2>9.99999999999999E+23</formula2>
    </dataValidation>
    <dataValidation type="whole" allowBlank="1" showErrorMessage="1" errorTitle="Ошибка" error="Допускается ввод только неотрицательных целых чисел!" sqref="AF59">
      <formula1>0</formula1>
      <formula2>9.99999999999999E+23</formula2>
    </dataValidation>
    <dataValidation type="whole" allowBlank="1" showErrorMessage="1" errorTitle="Ошибка" error="Допускается ввод только неотрицательных целых чисел!" sqref="AI5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0">
      <formula1>"a"</formula1>
    </dataValidation>
    <dataValidation type="textLength" operator="lessThanOrEqual" allowBlank="1" showInputMessage="1" showErrorMessage="1" errorTitle="Ошибка" error="Допускается ввод не более 900 символов!" sqref="K60">
      <formula1>900</formula1>
    </dataValidation>
    <dataValidation type="whole" allowBlank="1" showErrorMessage="1" errorTitle="Ошибка" error="Допускается ввод только неотрицательных целых чисел!" sqref="AF60">
      <formula1>0</formula1>
      <formula2>9.99999999999999E+23</formula2>
    </dataValidation>
    <dataValidation type="whole" allowBlank="1" showErrorMessage="1" errorTitle="Ошибка" error="Допускается ввод только неотрицательных целых чисел!" sqref="AI60">
      <formula1>0</formula1>
      <formula2>9.99999999999999E+23</formula2>
    </dataValidation>
    <dataValidation type="whole" allowBlank="1" showErrorMessage="1" errorTitle="Ошибка" error="Допускается ввод только неотрицательных целых чисел!" sqref="AF61">
      <formula1>0</formula1>
      <formula2>9.99999999999999E+23</formula2>
    </dataValidation>
    <dataValidation type="whole" allowBlank="1" showErrorMessage="1" errorTitle="Ошибка" error="Допускается ввод только неотрицательных целых чисел!" sqref="AI6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3">
      <formula1>"a"</formula1>
    </dataValidation>
    <dataValidation type="textLength" operator="lessThanOrEqual" allowBlank="1" showInputMessage="1" showErrorMessage="1" errorTitle="Ошибка" error="Допускается ввод не более 900 символов!" sqref="K63">
      <formula1>900</formula1>
    </dataValidation>
    <dataValidation type="textLength" operator="lessThanOrEqual" allowBlank="1" showInputMessage="1" showErrorMessage="1" errorTitle="Ошибка" error="Допускается ввод не более 900 символов!" sqref="M63">
      <formula1>900</formula1>
    </dataValidation>
    <dataValidation type="whole" allowBlank="1" showErrorMessage="1" errorTitle="Ошибка" error="Допускается ввод только неотрицательных целых чисел!" sqref="AF63">
      <formula1>0</formula1>
      <formula2>9.99999999999999E+23</formula2>
    </dataValidation>
    <dataValidation type="whole" allowBlank="1" showErrorMessage="1" errorTitle="Ошибка" error="Допускается ввод только неотрицательных целых чисел!" sqref="AI6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4">
      <formula1>"a"</formula1>
    </dataValidation>
    <dataValidation type="textLength" operator="lessThanOrEqual" allowBlank="1" showInputMessage="1" showErrorMessage="1" errorTitle="Ошибка" error="Допускается ввод не более 900 символов!" sqref="K64">
      <formula1>900</formula1>
    </dataValidation>
    <dataValidation type="whole" allowBlank="1" showErrorMessage="1" errorTitle="Ошибка" error="Допускается ввод только неотрицательных целых чисел!" sqref="AF64">
      <formula1>0</formula1>
      <formula2>9.99999999999999E+23</formula2>
    </dataValidation>
    <dataValidation type="whole" allowBlank="1" showErrorMessage="1" errorTitle="Ошибка" error="Допускается ввод только неотрицательных целых чисел!" sqref="AI6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5">
      <formula1>"a"</formula1>
    </dataValidation>
    <dataValidation type="textLength" operator="lessThanOrEqual" allowBlank="1" showInputMessage="1" showErrorMessage="1" errorTitle="Ошибка" error="Допускается ввод не более 900 символов!" sqref="K65">
      <formula1>900</formula1>
    </dataValidation>
    <dataValidation type="decimal" allowBlank="1" showErrorMessage="1" errorTitle="Ошибка" error="Допускается ввод только неотрицательных чисел!" sqref="AC65">
      <formula1>0</formula1>
      <formula2>9.99999999999999E+23</formula2>
    </dataValidation>
    <dataValidation type="decimal" allowBlank="1" showErrorMessage="1" errorTitle="Ошибка" error="Допускается ввод только неотрицательных чисел!" sqref="AE65">
      <formula1>0</formula1>
      <formula2>9.99999999999999E+23</formula2>
    </dataValidation>
    <dataValidation type="whole" allowBlank="1" showErrorMessage="1" errorTitle="Ошибка" error="Допускается ввод только неотрицательных целых чисел!" sqref="AF65">
      <formula1>0</formula1>
      <formula2>9.99999999999999E+23</formula2>
    </dataValidation>
    <dataValidation type="whole" allowBlank="1" showErrorMessage="1" errorTitle="Ошибка" error="Допускается ввод только неотрицательных целых чисел!" sqref="AI6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6">
      <formula1>"a"</formula1>
    </dataValidation>
    <dataValidation type="textLength" operator="lessThanOrEqual" allowBlank="1" showInputMessage="1" showErrorMessage="1" errorTitle="Ошибка" error="Допускается ввод не более 900 символов!" sqref="K66">
      <formula1>900</formula1>
    </dataValidation>
    <dataValidation type="whole" allowBlank="1" showErrorMessage="1" errorTitle="Ошибка" error="Допускается ввод только неотрицательных целых чисел!" sqref="AF66">
      <formula1>0</formula1>
      <formula2>9.99999999999999E+23</formula2>
    </dataValidation>
    <dataValidation type="whole" allowBlank="1" showErrorMessage="1" errorTitle="Ошибка" error="Допускается ввод только неотрицательных целых чисел!" sqref="AI66">
      <formula1>0</formula1>
      <formula2>9.99999999999999E+23</formula2>
    </dataValidation>
    <dataValidation type="whole" allowBlank="1" showErrorMessage="1" errorTitle="Ошибка" error="Допускается ввод только неотрицательных целых чисел!" sqref="AF67">
      <formula1>0</formula1>
      <formula2>9.99999999999999E+23</formula2>
    </dataValidation>
    <dataValidation type="whole" allowBlank="1" showErrorMessage="1" errorTitle="Ошибка" error="Допускается ввод только неотрицательных целых чисел!" sqref="AI6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9">
      <formula1>"a"</formula1>
    </dataValidation>
    <dataValidation type="textLength" operator="lessThanOrEqual" allowBlank="1" showInputMessage="1" showErrorMessage="1" errorTitle="Ошибка" error="Допускается ввод не более 900 символов!" sqref="K69">
      <formula1>900</formula1>
    </dataValidation>
    <dataValidation type="textLength" operator="lessThanOrEqual" allowBlank="1" showInputMessage="1" showErrorMessage="1" errorTitle="Ошибка" error="Допускается ввод не более 900 символов!" sqref="M69">
      <formula1>900</formula1>
    </dataValidation>
    <dataValidation type="whole" allowBlank="1" showErrorMessage="1" errorTitle="Ошибка" error="Допускается ввод только неотрицательных целых чисел!" sqref="AF69">
      <formula1>0</formula1>
      <formula2>9.99999999999999E+23</formula2>
    </dataValidation>
    <dataValidation type="whole" allowBlank="1" showErrorMessage="1" errorTitle="Ошибка" error="Допускается ввод только неотрицательных целых чисел!" sqref="AI6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0">
      <formula1>"a"</formula1>
    </dataValidation>
    <dataValidation type="textLength" operator="lessThanOrEqual" allowBlank="1" showInputMessage="1" showErrorMessage="1" errorTitle="Ошибка" error="Допускается ввод не более 900 символов!" sqref="K70">
      <formula1>900</formula1>
    </dataValidation>
    <dataValidation type="whole" allowBlank="1" showErrorMessage="1" errorTitle="Ошибка" error="Допускается ввод только неотрицательных целых чисел!" sqref="AF70">
      <formula1>0</formula1>
      <formula2>9.99999999999999E+23</formula2>
    </dataValidation>
    <dataValidation type="whole" allowBlank="1" showErrorMessage="1" errorTitle="Ошибка" error="Допускается ввод только неотрицательных целых чисел!" sqref="AI7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1">
      <formula1>"a"</formula1>
    </dataValidation>
    <dataValidation type="textLength" operator="lessThanOrEqual" allowBlank="1" showInputMessage="1" showErrorMessage="1" errorTitle="Ошибка" error="Допускается ввод не более 900 символов!" sqref="K71">
      <formula1>900</formula1>
    </dataValidation>
    <dataValidation type="decimal" allowBlank="1" showErrorMessage="1" errorTitle="Ошибка" error="Допускается ввод только неотрицательных чисел!" sqref="AC71">
      <formula1>0</formula1>
      <formula2>9.99999999999999E+23</formula2>
    </dataValidation>
    <dataValidation type="decimal" allowBlank="1" showErrorMessage="1" errorTitle="Ошибка" error="Допускается ввод только неотрицательных чисел!" sqref="AE71">
      <formula1>0</formula1>
      <formula2>9.99999999999999E+23</formula2>
    </dataValidation>
    <dataValidation type="whole" allowBlank="1" showErrorMessage="1" errorTitle="Ошибка" error="Допускается ввод только неотрицательных целых чисел!" sqref="AF71">
      <formula1>0</formula1>
      <formula2>9.99999999999999E+23</formula2>
    </dataValidation>
    <dataValidation type="whole" allowBlank="1" showErrorMessage="1" errorTitle="Ошибка" error="Допускается ввод только неотрицательных целых чисел!" sqref="AI7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2">
      <formula1>"a"</formula1>
    </dataValidation>
    <dataValidation type="textLength" operator="lessThanOrEqual" allowBlank="1" showInputMessage="1" showErrorMessage="1" errorTitle="Ошибка" error="Допускается ввод не более 900 символов!" sqref="K72">
      <formula1>900</formula1>
    </dataValidation>
    <dataValidation type="whole" allowBlank="1" showErrorMessage="1" errorTitle="Ошибка" error="Допускается ввод только неотрицательных целых чисел!" sqref="AF72">
      <formula1>0</formula1>
      <formula2>9.99999999999999E+23</formula2>
    </dataValidation>
    <dataValidation type="whole" allowBlank="1" showErrorMessage="1" errorTitle="Ошибка" error="Допускается ввод только неотрицательных целых чисел!" sqref="AI72">
      <formula1>0</formula1>
      <formula2>9.99999999999999E+23</formula2>
    </dataValidation>
    <dataValidation type="whole" allowBlank="1" showErrorMessage="1" errorTitle="Ошибка" error="Допускается ввод только неотрицательных целых чисел!" sqref="AF73">
      <formula1>0</formula1>
      <formula2>9.99999999999999E+23</formula2>
    </dataValidation>
    <dataValidation type="whole" allowBlank="1" showErrorMessage="1" errorTitle="Ошибка" error="Допускается ввод только неотрицательных целых чисел!" sqref="AI7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5">
      <formula1>"a"</formula1>
    </dataValidation>
    <dataValidation type="textLength" operator="lessThanOrEqual" allowBlank="1" showInputMessage="1" showErrorMessage="1" errorTitle="Ошибка" error="Допускается ввод не более 900 символов!" sqref="K75">
      <formula1>900</formula1>
    </dataValidation>
    <dataValidation type="textLength" operator="lessThanOrEqual" allowBlank="1" showInputMessage="1" showErrorMessage="1" errorTitle="Ошибка" error="Допускается ввод не более 900 символов!" sqref="M75">
      <formula1>900</formula1>
    </dataValidation>
    <dataValidation type="whole" allowBlank="1" showErrorMessage="1" errorTitle="Ошибка" error="Допускается ввод только неотрицательных целых чисел!" sqref="AF75">
      <formula1>0</formula1>
      <formula2>9.99999999999999E+23</formula2>
    </dataValidation>
    <dataValidation type="whole" allowBlank="1" showErrorMessage="1" errorTitle="Ошибка" error="Допускается ввод только неотрицательных целых чисел!" sqref="AI7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6">
      <formula1>"a"</formula1>
    </dataValidation>
    <dataValidation type="textLength" operator="lessThanOrEqual" allowBlank="1" showInputMessage="1" showErrorMessage="1" errorTitle="Ошибка" error="Допускается ввод не более 900 символов!" sqref="K76">
      <formula1>900</formula1>
    </dataValidation>
    <dataValidation type="whole" allowBlank="1" showErrorMessage="1" errorTitle="Ошибка" error="Допускается ввод только неотрицательных целых чисел!" sqref="AF76">
      <formula1>0</formula1>
      <formula2>9.99999999999999E+23</formula2>
    </dataValidation>
    <dataValidation type="whole" allowBlank="1" showErrorMessage="1" errorTitle="Ошибка" error="Допускается ввод только неотрицательных целых чисел!" sqref="AI7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7">
      <formula1>"a"</formula1>
    </dataValidation>
    <dataValidation type="textLength" operator="lessThanOrEqual" allowBlank="1" showInputMessage="1" showErrorMessage="1" errorTitle="Ошибка" error="Допускается ввод не более 900 символов!" sqref="K77">
      <formula1>900</formula1>
    </dataValidation>
    <dataValidation type="decimal" allowBlank="1" showErrorMessage="1" errorTitle="Ошибка" error="Допускается ввод только неотрицательных чисел!" sqref="AC77">
      <formula1>0</formula1>
      <formula2>9.99999999999999E+23</formula2>
    </dataValidation>
    <dataValidation type="decimal" allowBlank="1" showErrorMessage="1" errorTitle="Ошибка" error="Допускается ввод только неотрицательных чисел!" sqref="AE77">
      <formula1>0</formula1>
      <formula2>9.99999999999999E+23</formula2>
    </dataValidation>
    <dataValidation type="whole" allowBlank="1" showErrorMessage="1" errorTitle="Ошибка" error="Допускается ввод только неотрицательных целых чисел!" sqref="AF77">
      <formula1>0</formula1>
      <formula2>9.99999999999999E+23</formula2>
    </dataValidation>
    <dataValidation type="whole" allowBlank="1" showErrorMessage="1" errorTitle="Ошибка" error="Допускается ввод только неотрицательных целых чисел!" sqref="AI7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8">
      <formula1>"a"</formula1>
    </dataValidation>
    <dataValidation type="textLength" operator="lessThanOrEqual" allowBlank="1" showInputMessage="1" showErrorMessage="1" errorTitle="Ошибка" error="Допускается ввод не более 900 символов!" sqref="K78">
      <formula1>900</formula1>
    </dataValidation>
    <dataValidation type="whole" allowBlank="1" showErrorMessage="1" errorTitle="Ошибка" error="Допускается ввод только неотрицательных целых чисел!" sqref="AF78">
      <formula1>0</formula1>
      <formula2>9.99999999999999E+23</formula2>
    </dataValidation>
    <dataValidation type="whole" allowBlank="1" showErrorMessage="1" errorTitle="Ошибка" error="Допускается ввод только неотрицательных целых чисел!" sqref="AI78">
      <formula1>0</formula1>
      <formula2>9.99999999999999E+23</formula2>
    </dataValidation>
    <dataValidation type="whole" allowBlank="1" showErrorMessage="1" errorTitle="Ошибка" error="Допускается ввод только неотрицательных целых чисел!" sqref="AF79">
      <formula1>0</formula1>
      <formula2>9.99999999999999E+23</formula2>
    </dataValidation>
    <dataValidation type="whole" allowBlank="1" showErrorMessage="1" errorTitle="Ошибка" error="Допускается ввод только неотрицательных целых чисел!" sqref="AI7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1">
      <formula1>"a"</formula1>
    </dataValidation>
    <dataValidation type="textLength" operator="lessThanOrEqual" allowBlank="1" showInputMessage="1" showErrorMessage="1" errorTitle="Ошибка" error="Допускается ввод не более 900 символов!" sqref="K81">
      <formula1>900</formula1>
    </dataValidation>
    <dataValidation type="textLength" operator="lessThanOrEqual" allowBlank="1" showInputMessage="1" showErrorMessage="1" errorTitle="Ошибка" error="Допускается ввод не более 900 символов!" sqref="M81">
      <formula1>900</formula1>
    </dataValidation>
    <dataValidation type="whole" allowBlank="1" showErrorMessage="1" errorTitle="Ошибка" error="Допускается ввод только неотрицательных целых чисел!" sqref="AF81">
      <formula1>0</formula1>
      <formula2>9.99999999999999E+23</formula2>
    </dataValidation>
    <dataValidation type="whole" allowBlank="1" showErrorMessage="1" errorTitle="Ошибка" error="Допускается ввод только неотрицательных целых чисел!" sqref="AI8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2">
      <formula1>"a"</formula1>
    </dataValidation>
    <dataValidation type="textLength" operator="lessThanOrEqual" allowBlank="1" showInputMessage="1" showErrorMessage="1" errorTitle="Ошибка" error="Допускается ввод не более 900 символов!" sqref="K82">
      <formula1>900</formula1>
    </dataValidation>
    <dataValidation type="whole" allowBlank="1" showErrorMessage="1" errorTitle="Ошибка" error="Допускается ввод только неотрицательных целых чисел!" sqref="AF82">
      <formula1>0</formula1>
      <formula2>9.99999999999999E+23</formula2>
    </dataValidation>
    <dataValidation type="whole" allowBlank="1" showErrorMessage="1" errorTitle="Ошибка" error="Допускается ввод только неотрицательных целых чисел!" sqref="AI8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3">
      <formula1>"a"</formula1>
    </dataValidation>
    <dataValidation type="textLength" operator="lessThanOrEqual" allowBlank="1" showInputMessage="1" showErrorMessage="1" errorTitle="Ошибка" error="Допускается ввод не более 900 символов!" sqref="K83">
      <formula1>900</formula1>
    </dataValidation>
    <dataValidation type="decimal" allowBlank="1" showErrorMessage="1" errorTitle="Ошибка" error="Допускается ввод только неотрицательных чисел!" sqref="AC83">
      <formula1>0</formula1>
      <formula2>9.99999999999999E+23</formula2>
    </dataValidation>
    <dataValidation type="decimal" allowBlank="1" showErrorMessage="1" errorTitle="Ошибка" error="Допускается ввод только неотрицательных чисел!" sqref="AE83">
      <formula1>0</formula1>
      <formula2>9.99999999999999E+23</formula2>
    </dataValidation>
    <dataValidation type="whole" allowBlank="1" showErrorMessage="1" errorTitle="Ошибка" error="Допускается ввод только неотрицательных целых чисел!" sqref="AF83">
      <formula1>0</formula1>
      <formula2>9.99999999999999E+23</formula2>
    </dataValidation>
    <dataValidation type="whole" allowBlank="1" showErrorMessage="1" errorTitle="Ошибка" error="Допускается ввод только неотрицательных целых чисел!" sqref="AI8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4">
      <formula1>"a"</formula1>
    </dataValidation>
    <dataValidation type="textLength" operator="lessThanOrEqual" allowBlank="1" showInputMessage="1" showErrorMessage="1" errorTitle="Ошибка" error="Допускается ввод не более 900 символов!" sqref="K84">
      <formula1>900</formula1>
    </dataValidation>
    <dataValidation type="whole" allowBlank="1" showErrorMessage="1" errorTitle="Ошибка" error="Допускается ввод только неотрицательных целых чисел!" sqref="AF84">
      <formula1>0</formula1>
      <formula2>9.99999999999999E+23</formula2>
    </dataValidation>
    <dataValidation type="whole" allowBlank="1" showErrorMessage="1" errorTitle="Ошибка" error="Допускается ввод только неотрицательных целых чисел!" sqref="AI84">
      <formula1>0</formula1>
      <formula2>9.99999999999999E+23</formula2>
    </dataValidation>
    <dataValidation type="whole" allowBlank="1" showErrorMessage="1" errorTitle="Ошибка" error="Допускается ввод только неотрицательных целых чисел!" sqref="AF85">
      <formula1>0</formula1>
      <formula2>9.99999999999999E+23</formula2>
    </dataValidation>
    <dataValidation type="whole" allowBlank="1" showErrorMessage="1" errorTitle="Ошибка" error="Допускается ввод только неотрицательных целых чисел!" sqref="AI8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3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35">
      <formula1>"a"</formula1>
    </dataValidation>
    <dataValidation type="textLength" operator="lessThanOrEqual" allowBlank="1" showInputMessage="1" showErrorMessage="1" errorTitle="Ошибка" error="Допускается ввод не более 900 символов!" sqref="K135">
      <formula1>900</formula1>
    </dataValidation>
    <dataValidation type="textLength" operator="lessThanOrEqual" allowBlank="1" showInputMessage="1" showErrorMessage="1" errorTitle="Ошибка" error="Допускается ввод не более 900 символов!" sqref="M135">
      <formula1>900</formula1>
    </dataValidation>
    <dataValidation type="whole" allowBlank="1" showErrorMessage="1" errorTitle="Ошибка" error="Допускается ввод только неотрицательных целых чисел!" sqref="AF135">
      <formula1>0</formula1>
      <formula2>9.99999999999999E+23</formula2>
    </dataValidation>
    <dataValidation type="whole" allowBlank="1" showErrorMessage="1" errorTitle="Ошибка" error="Допускается ввод только неотрицательных целых чисел!" sqref="AI13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3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36">
      <formula1>"a"</formula1>
    </dataValidation>
    <dataValidation type="textLength" operator="lessThanOrEqual" allowBlank="1" showInputMessage="1" showErrorMessage="1" errorTitle="Ошибка" error="Допускается ввод не более 900 символов!" sqref="K136">
      <formula1>900</formula1>
    </dataValidation>
    <dataValidation type="whole" allowBlank="1" showErrorMessage="1" errorTitle="Ошибка" error="Допускается ввод только неотрицательных целых чисел!" sqref="AF136">
      <formula1>0</formula1>
      <formula2>9.99999999999999E+23</formula2>
    </dataValidation>
    <dataValidation type="whole" allowBlank="1" showErrorMessage="1" errorTitle="Ошибка" error="Допускается ввод только неотрицательных целых чисел!" sqref="AI13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3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37">
      <formula1>"a"</formula1>
    </dataValidation>
    <dataValidation type="textLength" operator="lessThanOrEqual" allowBlank="1" showInputMessage="1" showErrorMessage="1" errorTitle="Ошибка" error="Допускается ввод не более 900 символов!" sqref="K137">
      <formula1>900</formula1>
    </dataValidation>
    <dataValidation type="decimal" allowBlank="1" showErrorMessage="1" errorTitle="Ошибка" error="Допускается ввод только неотрицательных чисел!" sqref="AC137">
      <formula1>0</formula1>
      <formula2>9.99999999999999E+23</formula2>
    </dataValidation>
    <dataValidation type="decimal" allowBlank="1" showErrorMessage="1" errorTitle="Ошибка" error="Допускается ввод только неотрицательных чисел!" sqref="AE137">
      <formula1>0</formula1>
      <formula2>9.99999999999999E+23</formula2>
    </dataValidation>
    <dataValidation type="whole" allowBlank="1" showErrorMessage="1" errorTitle="Ошибка" error="Допускается ввод только неотрицательных целых чисел!" sqref="AF137">
      <formula1>0</formula1>
      <formula2>9.99999999999999E+23</formula2>
    </dataValidation>
    <dataValidation type="whole" allowBlank="1" showErrorMessage="1" errorTitle="Ошибка" error="Допускается ввод только неотрицательных целых чисел!" sqref="AI13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3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38">
      <formula1>"a"</formula1>
    </dataValidation>
    <dataValidation type="textLength" operator="lessThanOrEqual" allowBlank="1" showInputMessage="1" showErrorMessage="1" errorTitle="Ошибка" error="Допускается ввод не более 900 символов!" sqref="K138">
      <formula1>900</formula1>
    </dataValidation>
    <dataValidation type="whole" allowBlank="1" showErrorMessage="1" errorTitle="Ошибка" error="Допускается ввод только неотрицательных целых чисел!" sqref="AF138">
      <formula1>0</formula1>
      <formula2>9.99999999999999E+23</formula2>
    </dataValidation>
    <dataValidation type="whole" allowBlank="1" showErrorMessage="1" errorTitle="Ошибка" error="Допускается ввод только неотрицательных целых чисел!" sqref="AI138">
      <formula1>0</formula1>
      <formula2>9.99999999999999E+23</formula2>
    </dataValidation>
    <dataValidation type="whole" allowBlank="1" showErrorMessage="1" errorTitle="Ошибка" error="Допускается ввод только неотрицательных целых чисел!" sqref="AF139">
      <formula1>0</formula1>
      <formula2>9.99999999999999E+23</formula2>
    </dataValidation>
    <dataValidation type="whole" allowBlank="1" showErrorMessage="1" errorTitle="Ошибка" error="Допускается ввод только неотрицательных целых чисел!" sqref="AI139">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L59"/>
  <sheetViews>
    <sheetView showGridLines="0" zoomScale="85" workbookViewId="0">
      <pane xSplit="9" ySplit="13" topLeftCell="J14" activePane="bottomRight" state="frozen"/>
      <selection pane="topRight" activeCell="J1" sqref="J1"/>
      <selection pane="bottomLeft" activeCell="A14" sqref="A14"/>
      <selection pane="bottomRight" activeCell="X1" sqref="X1:X59"/>
    </sheetView>
  </sheetViews>
  <sheetFormatPr defaultColWidth="9.140625" defaultRowHeight="10.5" customHeight="1"/>
  <cols>
    <col min="1" max="3" width="4.140625" style="1089" hidden="1" customWidth="1"/>
    <col min="4" max="4" width="4.140625" style="1289" hidden="1" customWidth="1"/>
    <col min="5" max="5" width="3" style="1558" customWidth="1"/>
    <col min="6" max="6" width="6" style="1558" customWidth="1"/>
    <col min="7" max="7" width="60" style="1558" customWidth="1"/>
    <col min="8" max="9" width="21.7109375" style="1558" hidden="1" customWidth="1"/>
    <col min="10" max="10" width="0.140625" style="1558" customWidth="1"/>
    <col min="11" max="24" width="21.7109375" style="1558" hidden="1" customWidth="1"/>
    <col min="25" max="25" width="0.140625" style="1558" hidden="1" customWidth="1"/>
    <col min="26" max="26" width="1" style="1558" customWidth="1"/>
    <col min="27" max="37" width="8" style="1558" customWidth="1"/>
    <col min="38" max="38" width="9.140625" style="1558" hidden="1"/>
  </cols>
  <sheetData>
    <row r="1" spans="1:38" s="1289" customFormat="1" ht="10.5" hidden="1" customHeight="1">
      <c r="A1" s="1089"/>
      <c r="B1" s="1089"/>
      <c r="C1" s="1089"/>
      <c r="E1" s="473"/>
      <c r="AL1" s="1083" t="s">
        <v>14</v>
      </c>
    </row>
    <row r="2" spans="1:38" ht="10.5" hidden="1" customHeight="1">
      <c r="AL2" s="1078">
        <v>0</v>
      </c>
    </row>
    <row r="3" spans="1:38" s="1555" customFormat="1" ht="10.5" hidden="1" customHeight="1">
      <c r="A3" s="1089"/>
      <c r="B3" s="1089"/>
      <c r="C3" s="1089"/>
      <c r="D3" s="1083"/>
      <c r="E3" s="298"/>
      <c r="AL3" s="1079">
        <v>0</v>
      </c>
    </row>
    <row r="4" spans="1:38" ht="3" customHeight="1">
      <c r="AL4" s="1078">
        <v>3</v>
      </c>
    </row>
    <row r="5" spans="1:38" ht="27.4" customHeight="1">
      <c r="F5" s="249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490"/>
      <c r="H5" s="2490"/>
      <c r="I5" s="2490"/>
      <c r="J5" s="2490"/>
      <c r="K5" s="2017"/>
      <c r="L5" s="2017"/>
      <c r="M5" s="2017"/>
      <c r="N5" s="2017"/>
      <c r="O5" s="2017"/>
      <c r="P5" s="2017"/>
      <c r="Q5" s="2017"/>
      <c r="R5" s="2017"/>
      <c r="S5" s="2017"/>
      <c r="T5" s="2017"/>
      <c r="U5" s="2017"/>
      <c r="V5" s="2017"/>
      <c r="W5" s="2017"/>
      <c r="X5" s="2017"/>
      <c r="Y5" s="2017"/>
      <c r="AL5" s="1078">
        <v>26</v>
      </c>
    </row>
    <row r="6" spans="1:38" ht="10.5" customHeight="1">
      <c r="F6" s="2436" t="str">
        <f>IF(org=0,"Не определено",org)</f>
        <v>ПАО "ТГК-2"</v>
      </c>
      <c r="G6" s="2436"/>
      <c r="H6" s="2436"/>
      <c r="I6" s="2436"/>
      <c r="J6" s="2436"/>
      <c r="K6" s="2018"/>
      <c r="L6" s="2018"/>
      <c r="M6" s="2018"/>
      <c r="N6" s="2018"/>
      <c r="O6" s="2018"/>
      <c r="P6" s="2018"/>
      <c r="Q6" s="2018"/>
      <c r="R6" s="2018"/>
      <c r="S6" s="2018"/>
      <c r="T6" s="2018"/>
      <c r="U6" s="2018"/>
      <c r="V6" s="2018"/>
      <c r="W6" s="2018"/>
      <c r="X6" s="2018"/>
      <c r="Y6" s="2018"/>
      <c r="AL6" s="1078">
        <v>10</v>
      </c>
    </row>
    <row r="7" spans="1:38" ht="11.45" customHeight="1">
      <c r="E7" s="1093"/>
      <c r="F7" s="1150"/>
      <c r="G7" s="1150"/>
      <c r="H7" s="1150"/>
      <c r="I7" s="1150"/>
      <c r="J7" s="1150"/>
      <c r="K7" s="1150" t="s">
        <v>22</v>
      </c>
      <c r="L7" s="1150"/>
      <c r="M7" s="1150" t="s">
        <v>22</v>
      </c>
      <c r="N7" s="1150" t="s">
        <v>22</v>
      </c>
      <c r="O7" s="1150" t="s">
        <v>22</v>
      </c>
      <c r="P7" s="1150" t="s">
        <v>22</v>
      </c>
      <c r="Q7" s="1150" t="s">
        <v>22</v>
      </c>
      <c r="R7" s="1150" t="s">
        <v>22</v>
      </c>
      <c r="S7" s="1150" t="s">
        <v>22</v>
      </c>
      <c r="T7" s="1150" t="s">
        <v>22</v>
      </c>
      <c r="U7" s="1150" t="s">
        <v>22</v>
      </c>
      <c r="V7" s="1150" t="s">
        <v>22</v>
      </c>
      <c r="W7" s="1150" t="s">
        <v>22</v>
      </c>
      <c r="X7" s="1150" t="s">
        <v>22</v>
      </c>
      <c r="Y7" s="1150"/>
      <c r="Z7" s="1080"/>
      <c r="AA7" s="1080"/>
      <c r="AB7" s="1080"/>
      <c r="AC7" s="1080"/>
      <c r="AD7" s="1080"/>
      <c r="AE7" s="1080"/>
      <c r="AF7" s="1080"/>
      <c r="AG7" s="1080"/>
      <c r="AH7" s="1080"/>
      <c r="AI7" s="1080"/>
      <c r="AJ7" s="1080"/>
      <c r="AK7" s="1080"/>
      <c r="AL7" s="1078">
        <v>11</v>
      </c>
    </row>
    <row r="8" spans="1:38" s="1565" customFormat="1" ht="4.1500000000000004" customHeight="1">
      <c r="A8" s="1090"/>
      <c r="B8" s="1090"/>
      <c r="C8" s="1090"/>
      <c r="E8" s="1151"/>
      <c r="F8" s="1152"/>
      <c r="G8" s="1152"/>
      <c r="H8" s="1152"/>
      <c r="I8" s="1152"/>
      <c r="J8" s="1152"/>
      <c r="K8" s="1152" t="s">
        <v>1161</v>
      </c>
      <c r="L8" s="1152"/>
      <c r="M8" s="1152"/>
      <c r="N8" s="1152"/>
      <c r="O8" s="1152"/>
      <c r="P8" s="1152"/>
      <c r="Q8" s="1152"/>
      <c r="R8" s="1152"/>
      <c r="S8" s="1152"/>
      <c r="T8" s="1152"/>
      <c r="U8" s="1152"/>
      <c r="V8" s="1152"/>
      <c r="W8" s="1152"/>
      <c r="X8" s="1152"/>
      <c r="Y8" s="1152"/>
      <c r="Z8" s="1151"/>
      <c r="AA8" s="1151"/>
      <c r="AB8" s="1151"/>
      <c r="AC8" s="1151"/>
      <c r="AD8" s="1151"/>
      <c r="AE8" s="1151"/>
      <c r="AF8" s="1151"/>
      <c r="AG8" s="1151"/>
      <c r="AH8" s="1151"/>
      <c r="AI8" s="1151"/>
      <c r="AJ8" s="1151"/>
      <c r="AK8" s="1151"/>
      <c r="AL8" s="447">
        <v>4</v>
      </c>
    </row>
    <row r="9" spans="1:38" ht="10.5" customHeight="1">
      <c r="E9" s="1093"/>
      <c r="F9" s="2693" t="s">
        <v>319</v>
      </c>
      <c r="G9" s="2694"/>
      <c r="H9" s="2694"/>
      <c r="I9" s="2694"/>
      <c r="J9" s="2694"/>
      <c r="K9" s="2034"/>
      <c r="L9" s="2034"/>
      <c r="M9" s="2034"/>
      <c r="N9" s="2034"/>
      <c r="O9" s="2034"/>
      <c r="P9" s="2034"/>
      <c r="Q9" s="2034"/>
      <c r="R9" s="2034"/>
      <c r="S9" s="2034"/>
      <c r="T9" s="2034"/>
      <c r="U9" s="2034"/>
      <c r="V9" s="2034"/>
      <c r="W9" s="2034"/>
      <c r="X9" s="2034"/>
      <c r="Y9" s="2034"/>
      <c r="Z9" s="1163"/>
      <c r="AA9" s="1080"/>
      <c r="AB9" s="1080"/>
      <c r="AC9" s="1080"/>
      <c r="AD9" s="1080"/>
      <c r="AE9" s="1080"/>
      <c r="AF9" s="1080"/>
      <c r="AG9" s="1080"/>
      <c r="AH9" s="1080"/>
      <c r="AI9" s="1080"/>
      <c r="AJ9" s="1080"/>
      <c r="AK9" s="1080"/>
      <c r="AL9" s="1078">
        <v>10</v>
      </c>
    </row>
    <row r="10" spans="1:38" ht="25.15" customHeight="1">
      <c r="E10" s="1080"/>
      <c r="F10" s="2697" t="s">
        <v>89</v>
      </c>
      <c r="G10" s="2700" t="s">
        <v>1220</v>
      </c>
      <c r="H10" s="2651" t="s">
        <v>1221</v>
      </c>
      <c r="I10" s="2651"/>
      <c r="J10" s="2651"/>
      <c r="K10" s="2651" t="s">
        <v>1221</v>
      </c>
      <c r="L10" s="2651"/>
      <c r="M10" s="2651"/>
      <c r="N10" s="2651"/>
      <c r="O10" s="2651"/>
      <c r="P10" s="2651"/>
      <c r="Q10" s="2651"/>
      <c r="R10" s="2651"/>
      <c r="S10" s="2651"/>
      <c r="T10" s="2651"/>
      <c r="U10" s="2651"/>
      <c r="V10" s="2651"/>
      <c r="W10" s="2651"/>
      <c r="X10" s="2651"/>
      <c r="Y10" s="2651"/>
      <c r="Z10" s="1156"/>
      <c r="AA10" s="1080"/>
      <c r="AB10" s="1080"/>
      <c r="AC10" s="1080"/>
      <c r="AD10" s="1080"/>
      <c r="AE10" s="1080"/>
      <c r="AF10" s="1080"/>
      <c r="AG10" s="1080"/>
      <c r="AH10" s="1080"/>
      <c r="AI10" s="1080"/>
      <c r="AJ10" s="1080"/>
      <c r="AK10" s="1080"/>
      <c r="AL10" s="1078">
        <v>24</v>
      </c>
    </row>
    <row r="11" spans="1:38" ht="25.5" customHeight="1">
      <c r="E11" s="1080"/>
      <c r="F11" s="2698"/>
      <c r="G11" s="2700"/>
      <c r="H11" s="2692" t="e">
        <f>INDEX(IP_MAIN_LIST_NAME_IP,MATCH(H8,IP_MAIN_LIST_IP_ID,0))&amp;" ("&amp;INDEX(IP_MAIN_START_DATE,MATCH(H8,IP_MAIN_LIST_IP_ID,0))&amp;"-"&amp;INDEX(IP_MAIN_END_DATE,MATCH(H8,IP_MAIN_LIST_IP_ID,0))&amp;")"</f>
        <v>#N/A</v>
      </c>
      <c r="I11" s="2692"/>
      <c r="J11" s="2692"/>
      <c r="K11" s="2692" t="str">
        <f>INDEX(IP_MAIN_LIST_NAME_IP,MATCH(K8,IP_MAIN_LIST_IP_ID,0))&amp;" ("&amp;INDEX(IP_MAIN_START_DATE,MATCH(K8,IP_MAIN_LIST_IP_ID,0))&amp;"-"&amp;INDEX(IP_MAIN_END_DATE,MATCH(K8,IP_MAIN_LIST_IP_ID,0))&amp;")"</f>
        <v>Инвестиционная программа от 18.11.2013 ПАО "ТГК-2" в сфере теплоснабжения по строительству, реконструкции, модернизации и развитию систем теплоснабжения от котельных и тепловых сетей, на территории городского округа Архангельск на 2014-2026 годы (01.01.2014-31.12.2026)</v>
      </c>
      <c r="L11" s="2692"/>
      <c r="M11" s="2692"/>
      <c r="N11" s="2692"/>
      <c r="O11" s="2692"/>
      <c r="P11" s="2692"/>
      <c r="Q11" s="2692"/>
      <c r="R11" s="2692"/>
      <c r="S11" s="2692"/>
      <c r="T11" s="2692"/>
      <c r="U11" s="2692"/>
      <c r="V11" s="2692"/>
      <c r="W11" s="2692"/>
      <c r="X11" s="2692"/>
      <c r="Y11" s="2692"/>
      <c r="Z11" s="1156"/>
      <c r="AA11" s="1080"/>
      <c r="AB11" s="1080"/>
      <c r="AC11" s="1080"/>
      <c r="AD11" s="1080"/>
      <c r="AE11" s="1080"/>
      <c r="AF11" s="1080"/>
      <c r="AG11" s="1080"/>
      <c r="AH11" s="1080"/>
      <c r="AI11" s="1080"/>
      <c r="AJ11" s="1080"/>
      <c r="AK11" s="1080"/>
      <c r="AL11" s="1078">
        <v>24</v>
      </c>
    </row>
    <row r="12" spans="1:38" ht="10.5" customHeight="1">
      <c r="F12" s="2699"/>
      <c r="G12" s="2700"/>
      <c r="H12" s="1149" t="s">
        <v>1222</v>
      </c>
      <c r="I12" s="1155"/>
      <c r="J12" s="1149"/>
      <c r="K12" s="2038" t="s">
        <v>1222</v>
      </c>
      <c r="L12" s="1155">
        <v>2014</v>
      </c>
      <c r="M12" s="1155">
        <v>2015</v>
      </c>
      <c r="N12" s="1155">
        <v>2016</v>
      </c>
      <c r="O12" s="1155">
        <v>2017</v>
      </c>
      <c r="P12" s="1155">
        <v>2018</v>
      </c>
      <c r="Q12" s="1155">
        <v>2019</v>
      </c>
      <c r="R12" s="1155">
        <v>2020</v>
      </c>
      <c r="S12" s="1155">
        <v>2021</v>
      </c>
      <c r="T12" s="1155">
        <v>2022</v>
      </c>
      <c r="U12" s="1155">
        <v>2023</v>
      </c>
      <c r="V12" s="1155">
        <v>2024</v>
      </c>
      <c r="W12" s="1155">
        <v>2025</v>
      </c>
      <c r="X12" s="1155">
        <v>2026</v>
      </c>
      <c r="Y12" s="2038"/>
      <c r="Z12" s="1157"/>
      <c r="AL12" s="1078">
        <v>10</v>
      </c>
    </row>
    <row r="13" spans="1:38" ht="10.5" hidden="1" customHeight="1">
      <c r="F13" s="1149">
        <v>1</v>
      </c>
      <c r="G13" s="1149">
        <v>2</v>
      </c>
      <c r="H13" s="1149">
        <v>3</v>
      </c>
      <c r="I13" s="1149">
        <v>4</v>
      </c>
      <c r="J13" s="1149">
        <v>5</v>
      </c>
      <c r="K13" s="2038">
        <v>3</v>
      </c>
      <c r="L13" s="2038">
        <v>4</v>
      </c>
      <c r="M13" s="2038">
        <v>4</v>
      </c>
      <c r="N13" s="2038">
        <v>4</v>
      </c>
      <c r="O13" s="2038">
        <v>4</v>
      </c>
      <c r="P13" s="2038">
        <v>4</v>
      </c>
      <c r="Q13" s="2038">
        <v>4</v>
      </c>
      <c r="R13" s="2038">
        <v>4</v>
      </c>
      <c r="S13" s="2038">
        <v>4</v>
      </c>
      <c r="T13" s="2038">
        <v>4</v>
      </c>
      <c r="U13" s="2038">
        <v>4</v>
      </c>
      <c r="V13" s="2038">
        <v>4</v>
      </c>
      <c r="W13" s="2038">
        <v>4</v>
      </c>
      <c r="X13" s="2038">
        <v>4</v>
      </c>
      <c r="Y13" s="2038">
        <v>5</v>
      </c>
      <c r="Z13" s="1157"/>
      <c r="AL13" s="1078">
        <v>0</v>
      </c>
    </row>
    <row r="14" spans="1:38" ht="11.45" customHeight="1">
      <c r="F14" s="1148" t="s">
        <v>1223</v>
      </c>
      <c r="G14" s="2695" t="s">
        <v>1224</v>
      </c>
      <c r="H14" s="2695"/>
      <c r="I14" s="2695"/>
      <c r="J14" s="2695"/>
      <c r="K14" s="2035"/>
      <c r="L14" s="2035"/>
      <c r="M14" s="2035"/>
      <c r="N14" s="2035"/>
      <c r="O14" s="2035"/>
      <c r="P14" s="2035"/>
      <c r="Q14" s="2035"/>
      <c r="R14" s="2035"/>
      <c r="S14" s="2035"/>
      <c r="T14" s="2035"/>
      <c r="U14" s="2035"/>
      <c r="V14" s="2035"/>
      <c r="W14" s="2035"/>
      <c r="X14" s="2035"/>
      <c r="Y14" s="2035"/>
      <c r="Z14" s="1157"/>
      <c r="AL14" s="1078">
        <v>11</v>
      </c>
    </row>
    <row r="15" spans="1:38" ht="11.45" customHeight="1">
      <c r="F15" s="1153">
        <v>1</v>
      </c>
      <c r="G15" s="626" t="s">
        <v>1225</v>
      </c>
      <c r="H15" s="1159">
        <f t="shared" ref="H15:H36" si="0">SUM(I15:J15)</f>
        <v>0</v>
      </c>
      <c r="I15" s="1159">
        <f>SUM(I16:I27)</f>
        <v>0</v>
      </c>
      <c r="J15" s="1148"/>
      <c r="K15" s="1159">
        <f t="shared" ref="K15:K36" si="1">SUM(L15:Y15)</f>
        <v>0</v>
      </c>
      <c r="L15" s="1159">
        <f t="shared" ref="L15:X15" si="2">SUM(L16:L27)</f>
        <v>0</v>
      </c>
      <c r="M15" s="1159">
        <f t="shared" si="2"/>
        <v>0</v>
      </c>
      <c r="N15" s="1159">
        <f t="shared" si="2"/>
        <v>0</v>
      </c>
      <c r="O15" s="1159">
        <f t="shared" si="2"/>
        <v>0</v>
      </c>
      <c r="P15" s="1159">
        <f t="shared" si="2"/>
        <v>0</v>
      </c>
      <c r="Q15" s="1159">
        <f t="shared" si="2"/>
        <v>0</v>
      </c>
      <c r="R15" s="1159">
        <f t="shared" si="2"/>
        <v>0</v>
      </c>
      <c r="S15" s="1159">
        <f t="shared" si="2"/>
        <v>0</v>
      </c>
      <c r="T15" s="1159">
        <f t="shared" si="2"/>
        <v>0</v>
      </c>
      <c r="U15" s="1159">
        <f t="shared" si="2"/>
        <v>0</v>
      </c>
      <c r="V15" s="1159">
        <f t="shared" si="2"/>
        <v>0</v>
      </c>
      <c r="W15" s="1159">
        <f t="shared" si="2"/>
        <v>0</v>
      </c>
      <c r="X15" s="1159">
        <f t="shared" si="2"/>
        <v>0</v>
      </c>
      <c r="Y15" s="2037"/>
      <c r="Z15" s="1157"/>
      <c r="AL15" s="1078">
        <v>11</v>
      </c>
    </row>
    <row r="16" spans="1:38" ht="24" customHeight="1">
      <c r="F16" s="1153" t="s">
        <v>649</v>
      </c>
      <c r="G16" s="1160" t="s">
        <v>1226</v>
      </c>
      <c r="H16" s="1159">
        <f t="shared" si="0"/>
        <v>0</v>
      </c>
      <c r="I16" s="1158"/>
      <c r="J16" s="1148"/>
      <c r="K16" s="1159">
        <f t="shared" si="1"/>
        <v>0</v>
      </c>
      <c r="L16" s="1158"/>
      <c r="M16" s="1158"/>
      <c r="N16" s="1158"/>
      <c r="O16" s="1158"/>
      <c r="P16" s="1158"/>
      <c r="Q16" s="1158"/>
      <c r="R16" s="1158"/>
      <c r="S16" s="1158"/>
      <c r="T16" s="1158"/>
      <c r="U16" s="1158"/>
      <c r="V16" s="1158"/>
      <c r="W16" s="1158"/>
      <c r="X16" s="1158"/>
      <c r="Y16" s="2037"/>
      <c r="Z16" s="1157"/>
      <c r="AL16" s="1078">
        <v>23</v>
      </c>
    </row>
    <row r="17" spans="6:38" ht="24" customHeight="1">
      <c r="F17" s="1153" t="s">
        <v>653</v>
      </c>
      <c r="G17" s="1160" t="s">
        <v>1227</v>
      </c>
      <c r="H17" s="1159">
        <f t="shared" si="0"/>
        <v>0</v>
      </c>
      <c r="I17" s="1158"/>
      <c r="J17" s="1148"/>
      <c r="K17" s="1159">
        <f t="shared" si="1"/>
        <v>0</v>
      </c>
      <c r="L17" s="1158"/>
      <c r="M17" s="1158"/>
      <c r="N17" s="1158"/>
      <c r="O17" s="1158"/>
      <c r="P17" s="1158"/>
      <c r="Q17" s="1158"/>
      <c r="R17" s="1158"/>
      <c r="S17" s="1158"/>
      <c r="T17" s="1158"/>
      <c r="U17" s="1158"/>
      <c r="V17" s="1158"/>
      <c r="W17" s="1158"/>
      <c r="X17" s="1158"/>
      <c r="Y17" s="2037"/>
      <c r="Z17" s="1157"/>
      <c r="AL17" s="1078">
        <v>23</v>
      </c>
    </row>
    <row r="18" spans="6:38" ht="35.65" customHeight="1">
      <c r="F18" s="1153" t="s">
        <v>725</v>
      </c>
      <c r="G18" s="1160" t="s">
        <v>1228</v>
      </c>
      <c r="H18" s="1159">
        <f t="shared" si="0"/>
        <v>0</v>
      </c>
      <c r="I18" s="1158"/>
      <c r="J18" s="1148"/>
      <c r="K18" s="1159">
        <f t="shared" si="1"/>
        <v>0</v>
      </c>
      <c r="L18" s="1158"/>
      <c r="M18" s="1158"/>
      <c r="N18" s="1158"/>
      <c r="O18" s="1158"/>
      <c r="P18" s="1158"/>
      <c r="Q18" s="1158"/>
      <c r="R18" s="1158"/>
      <c r="S18" s="1158"/>
      <c r="T18" s="1158"/>
      <c r="U18" s="1158"/>
      <c r="V18" s="1158"/>
      <c r="W18" s="1158"/>
      <c r="X18" s="1158"/>
      <c r="Y18" s="2037"/>
      <c r="Z18" s="1157"/>
      <c r="AL18" s="1078">
        <v>34</v>
      </c>
    </row>
    <row r="19" spans="6:38" ht="35.65" customHeight="1">
      <c r="F19" s="1153" t="s">
        <v>728</v>
      </c>
      <c r="G19" s="1160" t="s">
        <v>1229</v>
      </c>
      <c r="H19" s="1159">
        <f t="shared" si="0"/>
        <v>0</v>
      </c>
      <c r="I19" s="1158"/>
      <c r="J19" s="1148"/>
      <c r="K19" s="1159">
        <f t="shared" si="1"/>
        <v>0</v>
      </c>
      <c r="L19" s="1158"/>
      <c r="M19" s="1158"/>
      <c r="N19" s="1158"/>
      <c r="O19" s="1158"/>
      <c r="P19" s="1158"/>
      <c r="Q19" s="1158"/>
      <c r="R19" s="1158"/>
      <c r="S19" s="1158"/>
      <c r="T19" s="1158"/>
      <c r="U19" s="1158"/>
      <c r="V19" s="1158"/>
      <c r="W19" s="1158"/>
      <c r="X19" s="1158"/>
      <c r="Y19" s="2037"/>
      <c r="Z19" s="1157"/>
      <c r="AL19" s="1078">
        <v>34</v>
      </c>
    </row>
    <row r="20" spans="6:38" ht="48.2" customHeight="1">
      <c r="F20" s="1153" t="s">
        <v>731</v>
      </c>
      <c r="G20" s="1160" t="s">
        <v>1230</v>
      </c>
      <c r="H20" s="1159">
        <f t="shared" si="0"/>
        <v>0</v>
      </c>
      <c r="I20" s="1158"/>
      <c r="J20" s="1148"/>
      <c r="K20" s="1159">
        <f t="shared" si="1"/>
        <v>0</v>
      </c>
      <c r="L20" s="1158"/>
      <c r="M20" s="1158"/>
      <c r="N20" s="1158"/>
      <c r="O20" s="1158"/>
      <c r="P20" s="1158"/>
      <c r="Q20" s="1158"/>
      <c r="R20" s="1158"/>
      <c r="S20" s="1158"/>
      <c r="T20" s="1158"/>
      <c r="U20" s="1158"/>
      <c r="V20" s="1158"/>
      <c r="W20" s="1158"/>
      <c r="X20" s="1158"/>
      <c r="Y20" s="2037"/>
      <c r="Z20" s="1157"/>
      <c r="AL20" s="1078">
        <v>46</v>
      </c>
    </row>
    <row r="21" spans="6:38" ht="35.65" customHeight="1">
      <c r="F21" s="1153" t="s">
        <v>734</v>
      </c>
      <c r="G21" s="1160" t="s">
        <v>1231</v>
      </c>
      <c r="H21" s="1159">
        <f t="shared" si="0"/>
        <v>0</v>
      </c>
      <c r="I21" s="1158"/>
      <c r="J21" s="1148"/>
      <c r="K21" s="1159">
        <f t="shared" si="1"/>
        <v>0</v>
      </c>
      <c r="L21" s="1158"/>
      <c r="M21" s="1158"/>
      <c r="N21" s="1158"/>
      <c r="O21" s="1158"/>
      <c r="P21" s="1158"/>
      <c r="Q21" s="1158"/>
      <c r="R21" s="1158"/>
      <c r="S21" s="1158"/>
      <c r="T21" s="1158"/>
      <c r="U21" s="1158"/>
      <c r="V21" s="1158"/>
      <c r="W21" s="1158"/>
      <c r="X21" s="1158"/>
      <c r="Y21" s="2037"/>
      <c r="Z21" s="1157"/>
      <c r="AL21" s="1078">
        <v>34</v>
      </c>
    </row>
    <row r="22" spans="6:38" ht="35.65" customHeight="1">
      <c r="F22" s="1153" t="s">
        <v>1232</v>
      </c>
      <c r="G22" s="1160" t="s">
        <v>1233</v>
      </c>
      <c r="H22" s="1159">
        <f t="shared" si="0"/>
        <v>0</v>
      </c>
      <c r="I22" s="1158"/>
      <c r="J22" s="1148"/>
      <c r="K22" s="1159">
        <f t="shared" si="1"/>
        <v>0</v>
      </c>
      <c r="L22" s="1158"/>
      <c r="M22" s="1158"/>
      <c r="N22" s="1158"/>
      <c r="O22" s="1158"/>
      <c r="P22" s="1158"/>
      <c r="Q22" s="1158"/>
      <c r="R22" s="1158"/>
      <c r="S22" s="1158"/>
      <c r="T22" s="1158"/>
      <c r="U22" s="1158"/>
      <c r="V22" s="1158"/>
      <c r="W22" s="1158"/>
      <c r="X22" s="1158"/>
      <c r="Y22" s="2037"/>
      <c r="Z22" s="1157"/>
      <c r="AL22" s="1078">
        <v>34</v>
      </c>
    </row>
    <row r="23" spans="6:38" ht="24" customHeight="1">
      <c r="F23" s="1153" t="s">
        <v>1234</v>
      </c>
      <c r="G23" s="1160" t="s">
        <v>1235</v>
      </c>
      <c r="H23" s="1159">
        <f t="shared" si="0"/>
        <v>0</v>
      </c>
      <c r="I23" s="1158"/>
      <c r="J23" s="1148"/>
      <c r="K23" s="1159">
        <f t="shared" si="1"/>
        <v>0</v>
      </c>
      <c r="L23" s="1158"/>
      <c r="M23" s="1158"/>
      <c r="N23" s="1158"/>
      <c r="O23" s="1158"/>
      <c r="P23" s="1158"/>
      <c r="Q23" s="1158"/>
      <c r="R23" s="1158"/>
      <c r="S23" s="1158"/>
      <c r="T23" s="1158"/>
      <c r="U23" s="1158"/>
      <c r="V23" s="1158"/>
      <c r="W23" s="1158"/>
      <c r="X23" s="1158"/>
      <c r="Y23" s="2037"/>
      <c r="Z23" s="1157"/>
      <c r="AL23" s="1078">
        <v>23</v>
      </c>
    </row>
    <row r="24" spans="6:38" ht="24" customHeight="1">
      <c r="F24" s="1153" t="s">
        <v>1236</v>
      </c>
      <c r="G24" s="1160" t="s">
        <v>1237</v>
      </c>
      <c r="H24" s="1159">
        <f t="shared" si="0"/>
        <v>0</v>
      </c>
      <c r="I24" s="1158"/>
      <c r="J24" s="1148"/>
      <c r="K24" s="1159">
        <f t="shared" si="1"/>
        <v>0</v>
      </c>
      <c r="L24" s="1158"/>
      <c r="M24" s="1158"/>
      <c r="N24" s="1158"/>
      <c r="O24" s="1158"/>
      <c r="P24" s="1158"/>
      <c r="Q24" s="1158"/>
      <c r="R24" s="1158"/>
      <c r="S24" s="1158"/>
      <c r="T24" s="1158"/>
      <c r="U24" s="1158"/>
      <c r="V24" s="1158"/>
      <c r="W24" s="1158"/>
      <c r="X24" s="1158"/>
      <c r="Y24" s="2037"/>
      <c r="Z24" s="1157"/>
      <c r="AL24" s="1078">
        <v>23</v>
      </c>
    </row>
    <row r="25" spans="6:38" ht="35.65" customHeight="1">
      <c r="F25" s="1153" t="s">
        <v>1238</v>
      </c>
      <c r="G25" s="1160" t="s">
        <v>1239</v>
      </c>
      <c r="H25" s="1159">
        <f t="shared" si="0"/>
        <v>0</v>
      </c>
      <c r="I25" s="1158"/>
      <c r="J25" s="1148"/>
      <c r="K25" s="1159">
        <f t="shared" si="1"/>
        <v>0</v>
      </c>
      <c r="L25" s="1158"/>
      <c r="M25" s="1158"/>
      <c r="N25" s="1158"/>
      <c r="O25" s="1158"/>
      <c r="P25" s="1158"/>
      <c r="Q25" s="1158"/>
      <c r="R25" s="1158"/>
      <c r="S25" s="1158"/>
      <c r="T25" s="1158"/>
      <c r="U25" s="1158"/>
      <c r="V25" s="1158"/>
      <c r="W25" s="1158"/>
      <c r="X25" s="1158"/>
      <c r="Y25" s="2037"/>
      <c r="Z25" s="1157"/>
      <c r="AL25" s="1078">
        <v>34</v>
      </c>
    </row>
    <row r="26" spans="6:38" ht="35.65" customHeight="1">
      <c r="F26" s="1153" t="s">
        <v>1240</v>
      </c>
      <c r="G26" s="1160" t="s">
        <v>1241</v>
      </c>
      <c r="H26" s="1159">
        <f t="shared" si="0"/>
        <v>0</v>
      </c>
      <c r="I26" s="1158"/>
      <c r="J26" s="1148"/>
      <c r="K26" s="1159">
        <f t="shared" si="1"/>
        <v>0</v>
      </c>
      <c r="L26" s="1158"/>
      <c r="M26" s="1158"/>
      <c r="N26" s="1158"/>
      <c r="O26" s="1158"/>
      <c r="P26" s="1158"/>
      <c r="Q26" s="1158"/>
      <c r="R26" s="1158"/>
      <c r="S26" s="1158"/>
      <c r="T26" s="1158"/>
      <c r="U26" s="1158"/>
      <c r="V26" s="1158"/>
      <c r="W26" s="1158"/>
      <c r="X26" s="1158"/>
      <c r="Y26" s="2037"/>
      <c r="Z26" s="1157"/>
      <c r="AL26" s="1078">
        <v>34</v>
      </c>
    </row>
    <row r="27" spans="6:38" ht="11.45" customHeight="1">
      <c r="F27" s="1153" t="s">
        <v>1242</v>
      </c>
      <c r="G27" s="1160" t="s">
        <v>1243</v>
      </c>
      <c r="H27" s="1159">
        <f t="shared" si="0"/>
        <v>0</v>
      </c>
      <c r="I27" s="1158"/>
      <c r="J27" s="1148"/>
      <c r="K27" s="1159">
        <f t="shared" si="1"/>
        <v>0</v>
      </c>
      <c r="L27" s="1158"/>
      <c r="M27" s="1158"/>
      <c r="N27" s="1158"/>
      <c r="O27" s="1158"/>
      <c r="P27" s="1158"/>
      <c r="Q27" s="1158"/>
      <c r="R27" s="1158"/>
      <c r="S27" s="1158"/>
      <c r="T27" s="1158"/>
      <c r="U27" s="1158"/>
      <c r="V27" s="1158"/>
      <c r="W27" s="1158"/>
      <c r="X27" s="1158"/>
      <c r="Y27" s="2037"/>
      <c r="Z27" s="1157"/>
      <c r="AL27" s="1078">
        <v>11</v>
      </c>
    </row>
    <row r="28" spans="6:38" ht="11.45" customHeight="1">
      <c r="F28" s="1153">
        <v>2</v>
      </c>
      <c r="G28" s="626" t="s">
        <v>1244</v>
      </c>
      <c r="H28" s="1159">
        <f t="shared" si="0"/>
        <v>0</v>
      </c>
      <c r="I28" s="1159">
        <f>SUM(I29:I31)</f>
        <v>0</v>
      </c>
      <c r="J28" s="1148"/>
      <c r="K28" s="1159">
        <f t="shared" si="1"/>
        <v>0</v>
      </c>
      <c r="L28" s="1159">
        <f t="shared" ref="L28:X28" si="3">SUM(L29:L31)</f>
        <v>0</v>
      </c>
      <c r="M28" s="1159">
        <f t="shared" si="3"/>
        <v>0</v>
      </c>
      <c r="N28" s="1159">
        <f t="shared" si="3"/>
        <v>0</v>
      </c>
      <c r="O28" s="1159">
        <f t="shared" si="3"/>
        <v>0</v>
      </c>
      <c r="P28" s="1159">
        <f t="shared" si="3"/>
        <v>0</v>
      </c>
      <c r="Q28" s="1159">
        <f t="shared" si="3"/>
        <v>0</v>
      </c>
      <c r="R28" s="1159">
        <f t="shared" si="3"/>
        <v>0</v>
      </c>
      <c r="S28" s="1159">
        <f t="shared" si="3"/>
        <v>0</v>
      </c>
      <c r="T28" s="1159">
        <f t="shared" si="3"/>
        <v>0</v>
      </c>
      <c r="U28" s="1159">
        <f t="shared" si="3"/>
        <v>0</v>
      </c>
      <c r="V28" s="1159">
        <f t="shared" si="3"/>
        <v>0</v>
      </c>
      <c r="W28" s="1159">
        <f t="shared" si="3"/>
        <v>0</v>
      </c>
      <c r="X28" s="1159">
        <f t="shared" si="3"/>
        <v>0</v>
      </c>
      <c r="Y28" s="2037"/>
      <c r="Z28" s="1157"/>
      <c r="AL28" s="1078">
        <v>11</v>
      </c>
    </row>
    <row r="29" spans="6:38" ht="11.45" customHeight="1">
      <c r="F29" s="1153" t="s">
        <v>854</v>
      </c>
      <c r="G29" s="1160" t="s">
        <v>1245</v>
      </c>
      <c r="H29" s="1159">
        <f t="shared" si="0"/>
        <v>0</v>
      </c>
      <c r="I29" s="1158"/>
      <c r="J29" s="1148"/>
      <c r="K29" s="1159">
        <f t="shared" si="1"/>
        <v>0</v>
      </c>
      <c r="L29" s="1158"/>
      <c r="M29" s="1158"/>
      <c r="N29" s="1158"/>
      <c r="O29" s="1158"/>
      <c r="P29" s="1158"/>
      <c r="Q29" s="1158"/>
      <c r="R29" s="1158"/>
      <c r="S29" s="1158"/>
      <c r="T29" s="1158"/>
      <c r="U29" s="1158"/>
      <c r="V29" s="1158"/>
      <c r="W29" s="1158"/>
      <c r="X29" s="1158"/>
      <c r="Y29" s="2037"/>
      <c r="Z29" s="1157"/>
      <c r="AL29" s="1078">
        <v>11</v>
      </c>
    </row>
    <row r="30" spans="6:38" ht="11.45" customHeight="1">
      <c r="F30" s="1153" t="s">
        <v>326</v>
      </c>
      <c r="G30" s="1160" t="s">
        <v>1246</v>
      </c>
      <c r="H30" s="1159">
        <f t="shared" si="0"/>
        <v>0</v>
      </c>
      <c r="I30" s="1158"/>
      <c r="J30" s="1148"/>
      <c r="K30" s="1159">
        <f t="shared" si="1"/>
        <v>0</v>
      </c>
      <c r="L30" s="1158"/>
      <c r="M30" s="1158"/>
      <c r="N30" s="1158"/>
      <c r="O30" s="1158"/>
      <c r="P30" s="1158"/>
      <c r="Q30" s="1158"/>
      <c r="R30" s="1158"/>
      <c r="S30" s="1158"/>
      <c r="T30" s="1158"/>
      <c r="U30" s="1158"/>
      <c r="V30" s="1158"/>
      <c r="W30" s="1158"/>
      <c r="X30" s="1158"/>
      <c r="Y30" s="2037"/>
      <c r="Z30" s="1157"/>
      <c r="AL30" s="1078">
        <v>11</v>
      </c>
    </row>
    <row r="31" spans="6:38" ht="11.45" customHeight="1">
      <c r="F31" s="1153" t="s">
        <v>329</v>
      </c>
      <c r="G31" s="1160" t="s">
        <v>1247</v>
      </c>
      <c r="H31" s="1159">
        <f t="shared" si="0"/>
        <v>0</v>
      </c>
      <c r="I31" s="1158"/>
      <c r="J31" s="1148"/>
      <c r="K31" s="1159">
        <f t="shared" si="1"/>
        <v>0</v>
      </c>
      <c r="L31" s="1158"/>
      <c r="M31" s="1158"/>
      <c r="N31" s="1158"/>
      <c r="O31" s="1158"/>
      <c r="P31" s="1158"/>
      <c r="Q31" s="1158"/>
      <c r="R31" s="1158"/>
      <c r="S31" s="1158"/>
      <c r="T31" s="1158"/>
      <c r="U31" s="1158"/>
      <c r="V31" s="1158"/>
      <c r="W31" s="1158"/>
      <c r="X31" s="1158"/>
      <c r="Y31" s="2037"/>
      <c r="Z31" s="1157"/>
      <c r="AL31" s="1078">
        <v>11</v>
      </c>
    </row>
    <row r="32" spans="6:38" ht="11.45" customHeight="1">
      <c r="F32" s="1153">
        <v>3</v>
      </c>
      <c r="G32" s="626" t="s">
        <v>1248</v>
      </c>
      <c r="H32" s="1159">
        <f t="shared" si="0"/>
        <v>0</v>
      </c>
      <c r="I32" s="1159">
        <f>SUM(I33:I34)</f>
        <v>0</v>
      </c>
      <c r="J32" s="1148"/>
      <c r="K32" s="1159">
        <f t="shared" si="1"/>
        <v>0</v>
      </c>
      <c r="L32" s="1159">
        <f t="shared" ref="L32:X32" si="4">SUM(L33:L34)</f>
        <v>0</v>
      </c>
      <c r="M32" s="1159">
        <f t="shared" si="4"/>
        <v>0</v>
      </c>
      <c r="N32" s="1159">
        <f t="shared" si="4"/>
        <v>0</v>
      </c>
      <c r="O32" s="1159">
        <f t="shared" si="4"/>
        <v>0</v>
      </c>
      <c r="P32" s="1159">
        <f t="shared" si="4"/>
        <v>0</v>
      </c>
      <c r="Q32" s="1159">
        <f t="shared" si="4"/>
        <v>0</v>
      </c>
      <c r="R32" s="1159">
        <f t="shared" si="4"/>
        <v>0</v>
      </c>
      <c r="S32" s="1159">
        <f t="shared" si="4"/>
        <v>0</v>
      </c>
      <c r="T32" s="1159">
        <f t="shared" si="4"/>
        <v>0</v>
      </c>
      <c r="U32" s="1159">
        <f t="shared" si="4"/>
        <v>0</v>
      </c>
      <c r="V32" s="1159">
        <f t="shared" si="4"/>
        <v>0</v>
      </c>
      <c r="W32" s="1159">
        <f t="shared" si="4"/>
        <v>0</v>
      </c>
      <c r="X32" s="1159">
        <f t="shared" si="4"/>
        <v>0</v>
      </c>
      <c r="Y32" s="2037"/>
      <c r="Z32" s="1157"/>
      <c r="AL32" s="1078">
        <v>11</v>
      </c>
    </row>
    <row r="33" spans="6:38" ht="48.2" customHeight="1">
      <c r="F33" s="1153" t="s">
        <v>343</v>
      </c>
      <c r="G33" s="1160" t="s">
        <v>1249</v>
      </c>
      <c r="H33" s="1159">
        <f t="shared" si="0"/>
        <v>0</v>
      </c>
      <c r="I33" s="1158"/>
      <c r="J33" s="1148"/>
      <c r="K33" s="1159">
        <f t="shared" si="1"/>
        <v>0</v>
      </c>
      <c r="L33" s="1158"/>
      <c r="M33" s="1158"/>
      <c r="N33" s="1158"/>
      <c r="O33" s="1158"/>
      <c r="P33" s="1158"/>
      <c r="Q33" s="1158"/>
      <c r="R33" s="1158"/>
      <c r="S33" s="1158"/>
      <c r="T33" s="1158"/>
      <c r="U33" s="1158"/>
      <c r="V33" s="1158"/>
      <c r="W33" s="1158"/>
      <c r="X33" s="1158"/>
      <c r="Y33" s="2037"/>
      <c r="Z33" s="1157"/>
      <c r="AL33" s="1078">
        <v>46</v>
      </c>
    </row>
    <row r="34" spans="6:38" ht="11.45" customHeight="1">
      <c r="F34" s="1153" t="s">
        <v>351</v>
      </c>
      <c r="G34" s="1160" t="s">
        <v>1250</v>
      </c>
      <c r="H34" s="1159">
        <f t="shared" si="0"/>
        <v>0</v>
      </c>
      <c r="I34" s="1158"/>
      <c r="J34" s="1148"/>
      <c r="K34" s="1159">
        <f t="shared" si="1"/>
        <v>0</v>
      </c>
      <c r="L34" s="1158"/>
      <c r="M34" s="1158"/>
      <c r="N34" s="1158"/>
      <c r="O34" s="1158"/>
      <c r="P34" s="1158"/>
      <c r="Q34" s="1158"/>
      <c r="R34" s="1158"/>
      <c r="S34" s="1158"/>
      <c r="T34" s="1158"/>
      <c r="U34" s="1158"/>
      <c r="V34" s="1158"/>
      <c r="W34" s="1158"/>
      <c r="X34" s="1158"/>
      <c r="Y34" s="2037"/>
      <c r="Z34" s="1157"/>
      <c r="AL34" s="1078">
        <v>11</v>
      </c>
    </row>
    <row r="35" spans="6:38" ht="11.45" customHeight="1">
      <c r="F35" s="1153">
        <v>4</v>
      </c>
      <c r="G35" s="626" t="s">
        <v>1251</v>
      </c>
      <c r="H35" s="1159">
        <f t="shared" si="0"/>
        <v>0</v>
      </c>
      <c r="I35" s="1158"/>
      <c r="J35" s="1148"/>
      <c r="K35" s="1159">
        <f t="shared" si="1"/>
        <v>0</v>
      </c>
      <c r="L35" s="1158"/>
      <c r="M35" s="1158"/>
      <c r="N35" s="1158"/>
      <c r="O35" s="1158"/>
      <c r="P35" s="1158"/>
      <c r="Q35" s="1158"/>
      <c r="R35" s="1158"/>
      <c r="S35" s="1158"/>
      <c r="T35" s="1158"/>
      <c r="U35" s="1158"/>
      <c r="V35" s="1158"/>
      <c r="W35" s="1158"/>
      <c r="X35" s="1158"/>
      <c r="Y35" s="2037"/>
      <c r="Z35" s="1157"/>
      <c r="AL35" s="1078">
        <v>11</v>
      </c>
    </row>
    <row r="36" spans="6:38" ht="11.45" customHeight="1">
      <c r="F36" s="1153"/>
      <c r="G36" s="629" t="s">
        <v>1252</v>
      </c>
      <c r="H36" s="1159">
        <f t="shared" si="0"/>
        <v>0</v>
      </c>
      <c r="I36" s="1159">
        <f>SUM(I15,I28,I32,I35)</f>
        <v>0</v>
      </c>
      <c r="J36" s="1148"/>
      <c r="K36" s="1159">
        <f t="shared" si="1"/>
        <v>0</v>
      </c>
      <c r="L36" s="1159">
        <f t="shared" ref="L36:X36" si="5">SUM(L15,L28,L32,L35)</f>
        <v>0</v>
      </c>
      <c r="M36" s="1159">
        <f t="shared" si="5"/>
        <v>0</v>
      </c>
      <c r="N36" s="1159">
        <f t="shared" si="5"/>
        <v>0</v>
      </c>
      <c r="O36" s="1159">
        <f t="shared" si="5"/>
        <v>0</v>
      </c>
      <c r="P36" s="1159">
        <f t="shared" si="5"/>
        <v>0</v>
      </c>
      <c r="Q36" s="1159">
        <f t="shared" si="5"/>
        <v>0</v>
      </c>
      <c r="R36" s="1159">
        <f t="shared" si="5"/>
        <v>0</v>
      </c>
      <c r="S36" s="1159">
        <f t="shared" si="5"/>
        <v>0</v>
      </c>
      <c r="T36" s="1159">
        <f t="shared" si="5"/>
        <v>0</v>
      </c>
      <c r="U36" s="1159">
        <f t="shared" si="5"/>
        <v>0</v>
      </c>
      <c r="V36" s="1159">
        <f t="shared" si="5"/>
        <v>0</v>
      </c>
      <c r="W36" s="1159">
        <f t="shared" si="5"/>
        <v>0</v>
      </c>
      <c r="X36" s="1159">
        <f t="shared" si="5"/>
        <v>0</v>
      </c>
      <c r="Y36" s="2037"/>
      <c r="Z36" s="1157"/>
      <c r="AL36" s="1078">
        <v>11</v>
      </c>
    </row>
    <row r="37" spans="6:38" ht="29.25" customHeight="1">
      <c r="F37" s="1154" t="s">
        <v>1253</v>
      </c>
      <c r="G37" s="2696" t="s">
        <v>1254</v>
      </c>
      <c r="H37" s="2696"/>
      <c r="I37" s="2696"/>
      <c r="J37" s="2696"/>
      <c r="K37" s="2036"/>
      <c r="L37" s="2036"/>
      <c r="M37" s="2036"/>
      <c r="N37" s="2036"/>
      <c r="O37" s="2036"/>
      <c r="P37" s="2036"/>
      <c r="Q37" s="2036"/>
      <c r="R37" s="2036"/>
      <c r="S37" s="2036"/>
      <c r="T37" s="2036"/>
      <c r="U37" s="2036"/>
      <c r="V37" s="2036"/>
      <c r="W37" s="2036"/>
      <c r="X37" s="2036"/>
      <c r="Y37" s="2036"/>
      <c r="Z37" s="1157"/>
      <c r="AL37" s="1078">
        <v>28</v>
      </c>
    </row>
    <row r="38" spans="6:38" ht="24" customHeight="1">
      <c r="F38" s="1153" t="s">
        <v>100</v>
      </c>
      <c r="G38" s="626" t="s">
        <v>1255</v>
      </c>
      <c r="H38" s="1159">
        <f t="shared" ref="H38:H58" si="6">SUM(I38:J38)</f>
        <v>0</v>
      </c>
      <c r="I38" s="1159">
        <f>SUM(I39,I44,I47)</f>
        <v>0</v>
      </c>
      <c r="J38" s="1148"/>
      <c r="K38" s="1159">
        <f t="shared" ref="K38:K58" si="7">SUM(L38:Y38)</f>
        <v>0</v>
      </c>
      <c r="L38" s="1159">
        <f t="shared" ref="L38:X38" si="8">SUM(L39,L44,L47)</f>
        <v>0</v>
      </c>
      <c r="M38" s="1159">
        <f t="shared" si="8"/>
        <v>0</v>
      </c>
      <c r="N38" s="1159">
        <f t="shared" si="8"/>
        <v>0</v>
      </c>
      <c r="O38" s="1159">
        <f t="shared" si="8"/>
        <v>0</v>
      </c>
      <c r="P38" s="1159">
        <f t="shared" si="8"/>
        <v>0</v>
      </c>
      <c r="Q38" s="1159">
        <f t="shared" si="8"/>
        <v>0</v>
      </c>
      <c r="R38" s="1159">
        <f t="shared" si="8"/>
        <v>0</v>
      </c>
      <c r="S38" s="1159">
        <f t="shared" si="8"/>
        <v>0</v>
      </c>
      <c r="T38" s="1159">
        <f t="shared" si="8"/>
        <v>0</v>
      </c>
      <c r="U38" s="1159">
        <f t="shared" si="8"/>
        <v>0</v>
      </c>
      <c r="V38" s="1159">
        <f t="shared" si="8"/>
        <v>0</v>
      </c>
      <c r="W38" s="1159">
        <f t="shared" si="8"/>
        <v>0</v>
      </c>
      <c r="X38" s="1159">
        <f t="shared" si="8"/>
        <v>0</v>
      </c>
      <c r="Y38" s="2037"/>
      <c r="Z38" s="1157"/>
      <c r="AL38" s="1078">
        <v>23</v>
      </c>
    </row>
    <row r="39" spans="6:38" ht="11.45" customHeight="1">
      <c r="F39" s="1153" t="s">
        <v>649</v>
      </c>
      <c r="G39" s="1160" t="s">
        <v>1225</v>
      </c>
      <c r="H39" s="1159">
        <f t="shared" si="6"/>
        <v>0</v>
      </c>
      <c r="I39" s="1159">
        <f>SUM(I40:I43)</f>
        <v>0</v>
      </c>
      <c r="J39" s="1148"/>
      <c r="K39" s="1159">
        <f t="shared" si="7"/>
        <v>0</v>
      </c>
      <c r="L39" s="1159">
        <f t="shared" ref="L39:X39" si="9">SUM(L40:L43)</f>
        <v>0</v>
      </c>
      <c r="M39" s="1159">
        <f t="shared" si="9"/>
        <v>0</v>
      </c>
      <c r="N39" s="1159">
        <f t="shared" si="9"/>
        <v>0</v>
      </c>
      <c r="O39" s="1159">
        <f t="shared" si="9"/>
        <v>0</v>
      </c>
      <c r="P39" s="1159">
        <f t="shared" si="9"/>
        <v>0</v>
      </c>
      <c r="Q39" s="1159">
        <f t="shared" si="9"/>
        <v>0</v>
      </c>
      <c r="R39" s="1159">
        <f t="shared" si="9"/>
        <v>0</v>
      </c>
      <c r="S39" s="1159">
        <f t="shared" si="9"/>
        <v>0</v>
      </c>
      <c r="T39" s="1159">
        <f t="shared" si="9"/>
        <v>0</v>
      </c>
      <c r="U39" s="1159">
        <f t="shared" si="9"/>
        <v>0</v>
      </c>
      <c r="V39" s="1159">
        <f t="shared" si="9"/>
        <v>0</v>
      </c>
      <c r="W39" s="1159">
        <f t="shared" si="9"/>
        <v>0</v>
      </c>
      <c r="X39" s="1159">
        <f t="shared" si="9"/>
        <v>0</v>
      </c>
      <c r="Y39" s="2037"/>
      <c r="Z39" s="1157"/>
      <c r="AL39" s="1078">
        <v>11</v>
      </c>
    </row>
    <row r="40" spans="6:38" ht="24" customHeight="1">
      <c r="F40" s="1153" t="s">
        <v>1256</v>
      </c>
      <c r="G40" s="1161" t="s">
        <v>1257</v>
      </c>
      <c r="H40" s="1159">
        <f t="shared" si="6"/>
        <v>0</v>
      </c>
      <c r="I40" s="1158"/>
      <c r="J40" s="1148"/>
      <c r="K40" s="1159">
        <f t="shared" si="7"/>
        <v>0</v>
      </c>
      <c r="L40" s="1158"/>
      <c r="M40" s="1158"/>
      <c r="N40" s="1158"/>
      <c r="O40" s="1158"/>
      <c r="P40" s="1158"/>
      <c r="Q40" s="1158"/>
      <c r="R40" s="1158"/>
      <c r="S40" s="1158"/>
      <c r="T40" s="1158"/>
      <c r="U40" s="1158"/>
      <c r="V40" s="1158"/>
      <c r="W40" s="1158"/>
      <c r="X40" s="1158"/>
      <c r="Y40" s="2037"/>
      <c r="Z40" s="1157"/>
      <c r="AL40" s="1078">
        <v>23</v>
      </c>
    </row>
    <row r="41" spans="6:38" ht="11.45" customHeight="1">
      <c r="F41" s="1153" t="s">
        <v>1258</v>
      </c>
      <c r="G41" s="1161" t="s">
        <v>1259</v>
      </c>
      <c r="H41" s="1159">
        <f t="shared" si="6"/>
        <v>0</v>
      </c>
      <c r="I41" s="1158"/>
      <c r="J41" s="1148"/>
      <c r="K41" s="1159">
        <f t="shared" si="7"/>
        <v>0</v>
      </c>
      <c r="L41" s="1158"/>
      <c r="M41" s="1158"/>
      <c r="N41" s="1158"/>
      <c r="O41" s="1158"/>
      <c r="P41" s="1158"/>
      <c r="Q41" s="1158"/>
      <c r="R41" s="1158"/>
      <c r="S41" s="1158"/>
      <c r="T41" s="1158"/>
      <c r="U41" s="1158"/>
      <c r="V41" s="1158"/>
      <c r="W41" s="1158"/>
      <c r="X41" s="1158"/>
      <c r="Y41" s="2037"/>
      <c r="Z41" s="1157"/>
      <c r="AL41" s="1078">
        <v>11</v>
      </c>
    </row>
    <row r="42" spans="6:38" ht="11.45" customHeight="1">
      <c r="F42" s="1153" t="s">
        <v>1260</v>
      </c>
      <c r="G42" s="1161" t="s">
        <v>1261</v>
      </c>
      <c r="H42" s="1159">
        <f t="shared" si="6"/>
        <v>0</v>
      </c>
      <c r="I42" s="1158"/>
      <c r="J42" s="1148"/>
      <c r="K42" s="1159">
        <f t="shared" si="7"/>
        <v>0</v>
      </c>
      <c r="L42" s="1158"/>
      <c r="M42" s="1158"/>
      <c r="N42" s="1158"/>
      <c r="O42" s="1158"/>
      <c r="P42" s="1158"/>
      <c r="Q42" s="1158"/>
      <c r="R42" s="1158"/>
      <c r="S42" s="1158"/>
      <c r="T42" s="1158"/>
      <c r="U42" s="1158"/>
      <c r="V42" s="1158"/>
      <c r="W42" s="1158"/>
      <c r="X42" s="1158"/>
      <c r="Y42" s="2037"/>
      <c r="Z42" s="1157"/>
      <c r="AL42" s="1078">
        <v>11</v>
      </c>
    </row>
    <row r="43" spans="6:38" ht="35.65" customHeight="1">
      <c r="F43" s="1153" t="s">
        <v>1262</v>
      </c>
      <c r="G43" s="1161" t="s">
        <v>1263</v>
      </c>
      <c r="H43" s="1159">
        <f t="shared" si="6"/>
        <v>0</v>
      </c>
      <c r="I43" s="1158"/>
      <c r="J43" s="1148"/>
      <c r="K43" s="1159">
        <f t="shared" si="7"/>
        <v>0</v>
      </c>
      <c r="L43" s="1158"/>
      <c r="M43" s="1158"/>
      <c r="N43" s="1158"/>
      <c r="O43" s="1158"/>
      <c r="P43" s="1158"/>
      <c r="Q43" s="1158"/>
      <c r="R43" s="1158"/>
      <c r="S43" s="1158"/>
      <c r="T43" s="1158"/>
      <c r="U43" s="1158"/>
      <c r="V43" s="1158"/>
      <c r="W43" s="1158"/>
      <c r="X43" s="1158"/>
      <c r="Y43" s="2037"/>
      <c r="Z43" s="1157"/>
      <c r="AL43" s="1078">
        <v>34</v>
      </c>
    </row>
    <row r="44" spans="6:38" ht="11.45" customHeight="1">
      <c r="F44" s="1153" t="s">
        <v>653</v>
      </c>
      <c r="G44" s="1160" t="s">
        <v>1248</v>
      </c>
      <c r="H44" s="1159">
        <f t="shared" si="6"/>
        <v>0</v>
      </c>
      <c r="I44" s="1159">
        <f>SUM(I45:I46)</f>
        <v>0</v>
      </c>
      <c r="J44" s="1148"/>
      <c r="K44" s="1159">
        <f t="shared" si="7"/>
        <v>0</v>
      </c>
      <c r="L44" s="1159">
        <f t="shared" ref="L44:X44" si="10">SUM(L45:L46)</f>
        <v>0</v>
      </c>
      <c r="M44" s="1159">
        <f t="shared" si="10"/>
        <v>0</v>
      </c>
      <c r="N44" s="1159">
        <f t="shared" si="10"/>
        <v>0</v>
      </c>
      <c r="O44" s="1159">
        <f t="shared" si="10"/>
        <v>0</v>
      </c>
      <c r="P44" s="1159">
        <f t="shared" si="10"/>
        <v>0</v>
      </c>
      <c r="Q44" s="1159">
        <f t="shared" si="10"/>
        <v>0</v>
      </c>
      <c r="R44" s="1159">
        <f t="shared" si="10"/>
        <v>0</v>
      </c>
      <c r="S44" s="1159">
        <f t="shared" si="10"/>
        <v>0</v>
      </c>
      <c r="T44" s="1159">
        <f t="shared" si="10"/>
        <v>0</v>
      </c>
      <c r="U44" s="1159">
        <f t="shared" si="10"/>
        <v>0</v>
      </c>
      <c r="V44" s="1159">
        <f t="shared" si="10"/>
        <v>0</v>
      </c>
      <c r="W44" s="1159">
        <f t="shared" si="10"/>
        <v>0</v>
      </c>
      <c r="X44" s="1159">
        <f t="shared" si="10"/>
        <v>0</v>
      </c>
      <c r="Y44" s="2037"/>
      <c r="Z44" s="1157"/>
      <c r="AL44" s="1078">
        <v>11</v>
      </c>
    </row>
    <row r="45" spans="6:38" ht="48.2" customHeight="1">
      <c r="F45" s="1153" t="s">
        <v>1264</v>
      </c>
      <c r="G45" s="1161" t="s">
        <v>1249</v>
      </c>
      <c r="H45" s="1159">
        <f t="shared" si="6"/>
        <v>0</v>
      </c>
      <c r="I45" s="1158"/>
      <c r="J45" s="1148"/>
      <c r="K45" s="1159">
        <f t="shared" si="7"/>
        <v>0</v>
      </c>
      <c r="L45" s="1158"/>
      <c r="M45" s="1158"/>
      <c r="N45" s="1158"/>
      <c r="O45" s="1158"/>
      <c r="P45" s="1158"/>
      <c r="Q45" s="1158"/>
      <c r="R45" s="1158"/>
      <c r="S45" s="1158"/>
      <c r="T45" s="1158"/>
      <c r="U45" s="1158"/>
      <c r="V45" s="1158"/>
      <c r="W45" s="1158"/>
      <c r="X45" s="1158"/>
      <c r="Y45" s="2037"/>
      <c r="Z45" s="1157"/>
      <c r="AL45" s="1078">
        <v>46</v>
      </c>
    </row>
    <row r="46" spans="6:38" ht="11.45" customHeight="1">
      <c r="F46" s="1153" t="s">
        <v>1265</v>
      </c>
      <c r="G46" s="1161" t="s">
        <v>1250</v>
      </c>
      <c r="H46" s="1159">
        <f t="shared" si="6"/>
        <v>0</v>
      </c>
      <c r="I46" s="1158"/>
      <c r="J46" s="1148"/>
      <c r="K46" s="1159">
        <f t="shared" si="7"/>
        <v>0</v>
      </c>
      <c r="L46" s="1158"/>
      <c r="M46" s="1158"/>
      <c r="N46" s="1158"/>
      <c r="O46" s="1158"/>
      <c r="P46" s="1158"/>
      <c r="Q46" s="1158"/>
      <c r="R46" s="1158"/>
      <c r="S46" s="1158"/>
      <c r="T46" s="1158"/>
      <c r="U46" s="1158"/>
      <c r="V46" s="1158"/>
      <c r="W46" s="1158"/>
      <c r="X46" s="1158"/>
      <c r="Y46" s="2037"/>
      <c r="Z46" s="1157"/>
      <c r="AL46" s="1078">
        <v>11</v>
      </c>
    </row>
    <row r="47" spans="6:38" ht="11.45" customHeight="1">
      <c r="F47" s="1153" t="s">
        <v>725</v>
      </c>
      <c r="G47" s="1160" t="s">
        <v>1266</v>
      </c>
      <c r="H47" s="1159">
        <f t="shared" si="6"/>
        <v>0</v>
      </c>
      <c r="I47" s="1158"/>
      <c r="J47" s="1148"/>
      <c r="K47" s="1159">
        <f t="shared" si="7"/>
        <v>0</v>
      </c>
      <c r="L47" s="1158"/>
      <c r="M47" s="1158"/>
      <c r="N47" s="1158"/>
      <c r="O47" s="1158"/>
      <c r="P47" s="1158"/>
      <c r="Q47" s="1158"/>
      <c r="R47" s="1158"/>
      <c r="S47" s="1158"/>
      <c r="T47" s="1158"/>
      <c r="U47" s="1158"/>
      <c r="V47" s="1158"/>
      <c r="W47" s="1158"/>
      <c r="X47" s="1158"/>
      <c r="Y47" s="2037"/>
      <c r="Z47" s="1157"/>
      <c r="AL47" s="1078">
        <v>11</v>
      </c>
    </row>
    <row r="48" spans="6:38" ht="24" customHeight="1">
      <c r="F48" s="1153" t="s">
        <v>103</v>
      </c>
      <c r="G48" s="626" t="s">
        <v>1267</v>
      </c>
      <c r="H48" s="1159">
        <f t="shared" si="6"/>
        <v>0</v>
      </c>
      <c r="I48" s="1159">
        <f>SUM(I49,I54,I57)</f>
        <v>0</v>
      </c>
      <c r="J48" s="1148"/>
      <c r="K48" s="1159">
        <f t="shared" si="7"/>
        <v>0</v>
      </c>
      <c r="L48" s="1159">
        <f t="shared" ref="L48:X48" si="11">SUM(L49,L54,L57)</f>
        <v>0</v>
      </c>
      <c r="M48" s="1159">
        <f t="shared" si="11"/>
        <v>0</v>
      </c>
      <c r="N48" s="1159">
        <f t="shared" si="11"/>
        <v>0</v>
      </c>
      <c r="O48" s="1159">
        <f t="shared" si="11"/>
        <v>0</v>
      </c>
      <c r="P48" s="1159">
        <f t="shared" si="11"/>
        <v>0</v>
      </c>
      <c r="Q48" s="1159">
        <f t="shared" si="11"/>
        <v>0</v>
      </c>
      <c r="R48" s="1159">
        <f t="shared" si="11"/>
        <v>0</v>
      </c>
      <c r="S48" s="1159">
        <f t="shared" si="11"/>
        <v>0</v>
      </c>
      <c r="T48" s="1159">
        <f t="shared" si="11"/>
        <v>0</v>
      </c>
      <c r="U48" s="1159">
        <f t="shared" si="11"/>
        <v>0</v>
      </c>
      <c r="V48" s="1159">
        <f t="shared" si="11"/>
        <v>0</v>
      </c>
      <c r="W48" s="1159">
        <f t="shared" si="11"/>
        <v>0</v>
      </c>
      <c r="X48" s="1159">
        <f t="shared" si="11"/>
        <v>0</v>
      </c>
      <c r="Y48" s="2037"/>
      <c r="Z48" s="1157"/>
      <c r="AL48" s="1078">
        <v>23</v>
      </c>
    </row>
    <row r="49" spans="1:38" ht="11.45" customHeight="1">
      <c r="F49" s="1153" t="s">
        <v>854</v>
      </c>
      <c r="G49" s="1160" t="s">
        <v>1225</v>
      </c>
      <c r="H49" s="1159">
        <f t="shared" si="6"/>
        <v>0</v>
      </c>
      <c r="I49" s="1159">
        <f>SUM(I50:I53)</f>
        <v>0</v>
      </c>
      <c r="J49" s="1148"/>
      <c r="K49" s="1159">
        <f t="shared" si="7"/>
        <v>0</v>
      </c>
      <c r="L49" s="1159">
        <f t="shared" ref="L49:X49" si="12">SUM(L50:L53)</f>
        <v>0</v>
      </c>
      <c r="M49" s="1159">
        <f t="shared" si="12"/>
        <v>0</v>
      </c>
      <c r="N49" s="1159">
        <f t="shared" si="12"/>
        <v>0</v>
      </c>
      <c r="O49" s="1159">
        <f t="shared" si="12"/>
        <v>0</v>
      </c>
      <c r="P49" s="1159">
        <f t="shared" si="12"/>
        <v>0</v>
      </c>
      <c r="Q49" s="1159">
        <f t="shared" si="12"/>
        <v>0</v>
      </c>
      <c r="R49" s="1159">
        <f t="shared" si="12"/>
        <v>0</v>
      </c>
      <c r="S49" s="1159">
        <f t="shared" si="12"/>
        <v>0</v>
      </c>
      <c r="T49" s="1159">
        <f t="shared" si="12"/>
        <v>0</v>
      </c>
      <c r="U49" s="1159">
        <f t="shared" si="12"/>
        <v>0</v>
      </c>
      <c r="V49" s="1159">
        <f t="shared" si="12"/>
        <v>0</v>
      </c>
      <c r="W49" s="1159">
        <f t="shared" si="12"/>
        <v>0</v>
      </c>
      <c r="X49" s="1159">
        <f t="shared" si="12"/>
        <v>0</v>
      </c>
      <c r="Y49" s="2037"/>
      <c r="Z49" s="1157"/>
      <c r="AL49" s="1078">
        <v>11</v>
      </c>
    </row>
    <row r="50" spans="1:38" ht="24" customHeight="1">
      <c r="F50" s="1153" t="s">
        <v>857</v>
      </c>
      <c r="G50" s="1161" t="s">
        <v>1257</v>
      </c>
      <c r="H50" s="1159">
        <f t="shared" si="6"/>
        <v>0</v>
      </c>
      <c r="I50" s="1158"/>
      <c r="J50" s="1148"/>
      <c r="K50" s="1159">
        <f t="shared" si="7"/>
        <v>0</v>
      </c>
      <c r="L50" s="1158"/>
      <c r="M50" s="1158"/>
      <c r="N50" s="1158"/>
      <c r="O50" s="1158"/>
      <c r="P50" s="1158"/>
      <c r="Q50" s="1158"/>
      <c r="R50" s="1158"/>
      <c r="S50" s="1158"/>
      <c r="T50" s="1158"/>
      <c r="U50" s="1158"/>
      <c r="V50" s="1158"/>
      <c r="W50" s="1158"/>
      <c r="X50" s="1158"/>
      <c r="Y50" s="2037"/>
      <c r="Z50" s="1157"/>
      <c r="AL50" s="1078">
        <v>23</v>
      </c>
    </row>
    <row r="51" spans="1:38" ht="11.45" customHeight="1">
      <c r="F51" s="1153" t="s">
        <v>860</v>
      </c>
      <c r="G51" s="1161" t="s">
        <v>1259</v>
      </c>
      <c r="H51" s="1159">
        <f t="shared" si="6"/>
        <v>0</v>
      </c>
      <c r="I51" s="1158"/>
      <c r="J51" s="1148"/>
      <c r="K51" s="1159">
        <f t="shared" si="7"/>
        <v>0</v>
      </c>
      <c r="L51" s="1158"/>
      <c r="M51" s="1158"/>
      <c r="N51" s="1158"/>
      <c r="O51" s="1158"/>
      <c r="P51" s="1158"/>
      <c r="Q51" s="1158"/>
      <c r="R51" s="1158"/>
      <c r="S51" s="1158"/>
      <c r="T51" s="1158"/>
      <c r="U51" s="1158"/>
      <c r="V51" s="1158"/>
      <c r="W51" s="1158"/>
      <c r="X51" s="1158"/>
      <c r="Y51" s="2037"/>
      <c r="Z51" s="1157"/>
      <c r="AL51" s="1078">
        <v>11</v>
      </c>
    </row>
    <row r="52" spans="1:38" ht="11.45" customHeight="1">
      <c r="F52" s="1153" t="s">
        <v>1268</v>
      </c>
      <c r="G52" s="1161" t="s">
        <v>1261</v>
      </c>
      <c r="H52" s="1159">
        <f t="shared" si="6"/>
        <v>0</v>
      </c>
      <c r="I52" s="1158"/>
      <c r="J52" s="1148"/>
      <c r="K52" s="1159">
        <f t="shared" si="7"/>
        <v>0</v>
      </c>
      <c r="L52" s="1158"/>
      <c r="M52" s="1158"/>
      <c r="N52" s="1158"/>
      <c r="O52" s="1158"/>
      <c r="P52" s="1158"/>
      <c r="Q52" s="1158"/>
      <c r="R52" s="1158"/>
      <c r="S52" s="1158"/>
      <c r="T52" s="1158"/>
      <c r="U52" s="1158"/>
      <c r="V52" s="1158"/>
      <c r="W52" s="1158"/>
      <c r="X52" s="1158"/>
      <c r="Y52" s="2037"/>
      <c r="Z52" s="1157"/>
      <c r="AL52" s="1078">
        <v>11</v>
      </c>
    </row>
    <row r="53" spans="1:38" ht="35.65" customHeight="1">
      <c r="F53" s="1153" t="s">
        <v>1269</v>
      </c>
      <c r="G53" s="1161" t="s">
        <v>1263</v>
      </c>
      <c r="H53" s="1159">
        <f t="shared" si="6"/>
        <v>0</v>
      </c>
      <c r="I53" s="1158"/>
      <c r="J53" s="1148"/>
      <c r="K53" s="1159">
        <f t="shared" si="7"/>
        <v>0</v>
      </c>
      <c r="L53" s="1158"/>
      <c r="M53" s="1158"/>
      <c r="N53" s="1158"/>
      <c r="O53" s="1158"/>
      <c r="P53" s="1158"/>
      <c r="Q53" s="1158"/>
      <c r="R53" s="1158"/>
      <c r="S53" s="1158"/>
      <c r="T53" s="1158"/>
      <c r="U53" s="1158"/>
      <c r="V53" s="1158"/>
      <c r="W53" s="1158"/>
      <c r="X53" s="1158"/>
      <c r="Y53" s="2037"/>
      <c r="Z53" s="1157"/>
      <c r="AL53" s="1078">
        <v>34</v>
      </c>
    </row>
    <row r="54" spans="1:38" ht="11.45" customHeight="1">
      <c r="F54" s="1153" t="s">
        <v>326</v>
      </c>
      <c r="G54" s="1160" t="s">
        <v>1248</v>
      </c>
      <c r="H54" s="1159">
        <f t="shared" si="6"/>
        <v>0</v>
      </c>
      <c r="I54" s="1159">
        <f>SUM(I55:I56)</f>
        <v>0</v>
      </c>
      <c r="J54" s="1148"/>
      <c r="K54" s="1159">
        <f t="shared" si="7"/>
        <v>0</v>
      </c>
      <c r="L54" s="1159">
        <f t="shared" ref="L54:X54" si="13">SUM(L55:L56)</f>
        <v>0</v>
      </c>
      <c r="M54" s="1159">
        <f t="shared" si="13"/>
        <v>0</v>
      </c>
      <c r="N54" s="1159">
        <f t="shared" si="13"/>
        <v>0</v>
      </c>
      <c r="O54" s="1159">
        <f t="shared" si="13"/>
        <v>0</v>
      </c>
      <c r="P54" s="1159">
        <f t="shared" si="13"/>
        <v>0</v>
      </c>
      <c r="Q54" s="1159">
        <f t="shared" si="13"/>
        <v>0</v>
      </c>
      <c r="R54" s="1159">
        <f t="shared" si="13"/>
        <v>0</v>
      </c>
      <c r="S54" s="1159">
        <f t="shared" si="13"/>
        <v>0</v>
      </c>
      <c r="T54" s="1159">
        <f t="shared" si="13"/>
        <v>0</v>
      </c>
      <c r="U54" s="1159">
        <f t="shared" si="13"/>
        <v>0</v>
      </c>
      <c r="V54" s="1159">
        <f t="shared" si="13"/>
        <v>0</v>
      </c>
      <c r="W54" s="1159">
        <f t="shared" si="13"/>
        <v>0</v>
      </c>
      <c r="X54" s="1159">
        <f t="shared" si="13"/>
        <v>0</v>
      </c>
      <c r="Y54" s="2037"/>
      <c r="Z54" s="1157"/>
      <c r="AL54" s="1078">
        <v>11</v>
      </c>
    </row>
    <row r="55" spans="1:38" ht="48.2" customHeight="1">
      <c r="F55" s="1153" t="s">
        <v>864</v>
      </c>
      <c r="G55" s="1161" t="s">
        <v>1249</v>
      </c>
      <c r="H55" s="1159">
        <f t="shared" si="6"/>
        <v>0</v>
      </c>
      <c r="I55" s="1158"/>
      <c r="J55" s="1148"/>
      <c r="K55" s="1159">
        <f t="shared" si="7"/>
        <v>0</v>
      </c>
      <c r="L55" s="1158"/>
      <c r="M55" s="1158"/>
      <c r="N55" s="1158"/>
      <c r="O55" s="1158"/>
      <c r="P55" s="1158"/>
      <c r="Q55" s="1158"/>
      <c r="R55" s="1158"/>
      <c r="S55" s="1158"/>
      <c r="T55" s="1158"/>
      <c r="U55" s="1158"/>
      <c r="V55" s="1158"/>
      <c r="W55" s="1158"/>
      <c r="X55" s="1158"/>
      <c r="Y55" s="2037"/>
      <c r="Z55" s="1157"/>
      <c r="AL55" s="1078">
        <v>46</v>
      </c>
    </row>
    <row r="56" spans="1:38" ht="11.45" customHeight="1">
      <c r="F56" s="1153" t="s">
        <v>866</v>
      </c>
      <c r="G56" s="1161" t="s">
        <v>1250</v>
      </c>
      <c r="H56" s="1159">
        <f t="shared" si="6"/>
        <v>0</v>
      </c>
      <c r="I56" s="1158"/>
      <c r="J56" s="1148"/>
      <c r="K56" s="1159">
        <f t="shared" si="7"/>
        <v>0</v>
      </c>
      <c r="L56" s="1158"/>
      <c r="M56" s="1158"/>
      <c r="N56" s="1158"/>
      <c r="O56" s="1158"/>
      <c r="P56" s="1158"/>
      <c r="Q56" s="1158"/>
      <c r="R56" s="1158"/>
      <c r="S56" s="1158"/>
      <c r="T56" s="1158"/>
      <c r="U56" s="1158"/>
      <c r="V56" s="1158"/>
      <c r="W56" s="1158"/>
      <c r="X56" s="1158"/>
      <c r="Y56" s="2037"/>
      <c r="Z56" s="1157"/>
      <c r="AL56" s="1078">
        <v>11</v>
      </c>
    </row>
    <row r="57" spans="1:38" ht="11.45" customHeight="1">
      <c r="F57" s="1153" t="s">
        <v>329</v>
      </c>
      <c r="G57" s="1160" t="s">
        <v>1266</v>
      </c>
      <c r="H57" s="1159">
        <f t="shared" si="6"/>
        <v>0</v>
      </c>
      <c r="I57" s="1158"/>
      <c r="J57" s="1148"/>
      <c r="K57" s="1159">
        <f t="shared" si="7"/>
        <v>0</v>
      </c>
      <c r="L57" s="1158"/>
      <c r="M57" s="1158"/>
      <c r="N57" s="1158"/>
      <c r="O57" s="1158"/>
      <c r="P57" s="1158"/>
      <c r="Q57" s="1158"/>
      <c r="R57" s="1158"/>
      <c r="S57" s="1158"/>
      <c r="T57" s="1158"/>
      <c r="U57" s="1158"/>
      <c r="V57" s="1158"/>
      <c r="W57" s="1158"/>
      <c r="X57" s="1158"/>
      <c r="Y57" s="2037"/>
      <c r="Z57" s="1157"/>
      <c r="AL57" s="1078">
        <v>11</v>
      </c>
    </row>
    <row r="58" spans="1:38" ht="11.45" customHeight="1">
      <c r="F58" s="1153"/>
      <c r="G58" s="1162" t="s">
        <v>1252</v>
      </c>
      <c r="H58" s="1159">
        <f t="shared" si="6"/>
        <v>0</v>
      </c>
      <c r="I58" s="1159">
        <f>SUM(I38,I48)</f>
        <v>0</v>
      </c>
      <c r="J58" s="1148"/>
      <c r="K58" s="1159">
        <f t="shared" si="7"/>
        <v>0</v>
      </c>
      <c r="L58" s="1159">
        <f t="shared" ref="L58:X58" si="14">SUM(L38,L48)</f>
        <v>0</v>
      </c>
      <c r="M58" s="1159">
        <f t="shared" si="14"/>
        <v>0</v>
      </c>
      <c r="N58" s="1159">
        <f t="shared" si="14"/>
        <v>0</v>
      </c>
      <c r="O58" s="1159">
        <f t="shared" si="14"/>
        <v>0</v>
      </c>
      <c r="P58" s="1159">
        <f t="shared" si="14"/>
        <v>0</v>
      </c>
      <c r="Q58" s="1159">
        <f t="shared" si="14"/>
        <v>0</v>
      </c>
      <c r="R58" s="1159">
        <f t="shared" si="14"/>
        <v>0</v>
      </c>
      <c r="S58" s="1159">
        <f t="shared" si="14"/>
        <v>0</v>
      </c>
      <c r="T58" s="1159">
        <f t="shared" si="14"/>
        <v>0</v>
      </c>
      <c r="U58" s="1159">
        <f t="shared" si="14"/>
        <v>0</v>
      </c>
      <c r="V58" s="1159">
        <f t="shared" si="14"/>
        <v>0</v>
      </c>
      <c r="W58" s="1159">
        <f t="shared" si="14"/>
        <v>0</v>
      </c>
      <c r="X58" s="1159">
        <f t="shared" si="14"/>
        <v>0</v>
      </c>
      <c r="Y58" s="2037"/>
      <c r="Z58" s="1157"/>
      <c r="AL58" s="1078">
        <v>11</v>
      </c>
    </row>
    <row r="59" spans="1:38" ht="10.5" hidden="1" customHeight="1">
      <c r="A59" s="1089" t="s">
        <v>83</v>
      </c>
      <c r="B59" s="1089">
        <v>0</v>
      </c>
      <c r="C59" s="1089">
        <v>0</v>
      </c>
      <c r="D59" s="1083">
        <v>0</v>
      </c>
      <c r="E59" s="445">
        <v>3</v>
      </c>
      <c r="F59" s="1078">
        <v>6</v>
      </c>
      <c r="G59" s="1078">
        <v>60</v>
      </c>
      <c r="H59" s="1078">
        <v>0</v>
      </c>
      <c r="I59" s="1078">
        <v>0</v>
      </c>
      <c r="J59" s="1078">
        <v>0</v>
      </c>
      <c r="K59" s="1558">
        <v>0</v>
      </c>
      <c r="L59" s="1558">
        <v>0</v>
      </c>
      <c r="M59" s="1558">
        <v>0</v>
      </c>
      <c r="N59" s="1558">
        <v>0</v>
      </c>
      <c r="O59" s="1558">
        <v>0</v>
      </c>
      <c r="P59" s="1558">
        <v>0</v>
      </c>
      <c r="Q59" s="1558">
        <v>0</v>
      </c>
      <c r="R59" s="1558">
        <v>0</v>
      </c>
      <c r="S59" s="1558">
        <v>0</v>
      </c>
      <c r="T59" s="1558">
        <v>0</v>
      </c>
      <c r="U59" s="1558">
        <v>0</v>
      </c>
      <c r="V59" s="1558">
        <v>0</v>
      </c>
      <c r="W59" s="1558">
        <v>0</v>
      </c>
      <c r="X59" s="1558">
        <v>0</v>
      </c>
      <c r="Y59" s="1558">
        <v>0</v>
      </c>
      <c r="Z59" s="1078">
        <v>1</v>
      </c>
      <c r="AA59" s="1078">
        <v>8</v>
      </c>
      <c r="AB59" s="1078">
        <v>8</v>
      </c>
      <c r="AC59" s="1078">
        <v>8</v>
      </c>
      <c r="AD59" s="1078">
        <v>8</v>
      </c>
      <c r="AE59" s="1078">
        <v>8</v>
      </c>
      <c r="AF59" s="1078">
        <v>8</v>
      </c>
      <c r="AG59" s="1078">
        <v>8</v>
      </c>
      <c r="AH59" s="1078">
        <v>8</v>
      </c>
      <c r="AI59" s="1078">
        <v>8</v>
      </c>
      <c r="AJ59" s="1078">
        <v>8</v>
      </c>
      <c r="AK59" s="1078">
        <v>8</v>
      </c>
      <c r="AL59" s="1078">
        <v>10</v>
      </c>
    </row>
  </sheetData>
  <sheetProtection formatColumns="0" formatRows="0" insertRows="0" deleteColumns="0" deleteRows="0" sort="0" autoFilter="0"/>
  <mergeCells count="11">
    <mergeCell ref="G14:J14"/>
    <mergeCell ref="G37:J37"/>
    <mergeCell ref="F10:F12"/>
    <mergeCell ref="H10:J10"/>
    <mergeCell ref="H11:J11"/>
    <mergeCell ref="G10:G12"/>
    <mergeCell ref="K10:Y10"/>
    <mergeCell ref="K11:Y11"/>
    <mergeCell ref="F5:J5"/>
    <mergeCell ref="F6:J6"/>
    <mergeCell ref="F9:J9"/>
  </mergeCells>
  <dataValidations count="1">
    <dataValidation type="decimal" allowBlank="1" showErrorMessage="1" errorTitle="Ошибка" error="Допускается ввод только неотрицательных чисел!" sqref="I29:I31 I33:I35 I40:I43 I45:I47 I50:I53 I55:I57 I16:I27 L16:X16 L17:X17 L18:X18 L19:X19 L20:X20 L21:X21 L22:X22 L23:X23 L24:X24 L25:X25 L26:X26 L27:X27 L29:X29 L30:X30 L31:X31 L33:X33 L34:X34 L35:X35 L40:X40 L41:X41 L42:X42 L43:X43 L45:X45 L46:X46 L47:X47 L50:X50 L51:X51 L52:X52 L53:X53 L55:X55 L56:X56 L57:X5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33"/>
  <sheetViews>
    <sheetView showGridLines="0" zoomScale="90" workbookViewId="0">
      <pane xSplit="14" ySplit="17" topLeftCell="O21" activePane="bottomRight" state="frozen"/>
      <selection pane="topRight" activeCell="O1" sqref="O1"/>
      <selection pane="bottomLeft" activeCell="A18" sqref="A18"/>
      <selection pane="bottomRight" activeCell="I27" sqref="I27"/>
    </sheetView>
  </sheetViews>
  <sheetFormatPr defaultColWidth="9.140625" defaultRowHeight="12" customHeight="1"/>
  <cols>
    <col min="1" max="1" width="4.7109375" style="990" hidden="1" customWidth="1"/>
    <col min="2" max="2" width="4.7109375" style="864" hidden="1" customWidth="1"/>
    <col min="3" max="4" width="4.7109375" style="990" hidden="1" customWidth="1"/>
    <col min="5" max="5" width="3" style="990" customWidth="1"/>
    <col min="6" max="6" width="6" style="990" customWidth="1"/>
    <col min="7" max="7" width="18" style="990" customWidth="1"/>
    <col min="8" max="8" width="27" style="990" customWidth="1"/>
    <col min="9" max="9" width="18" style="990" customWidth="1"/>
    <col min="10" max="14" width="0.85546875" style="990" hidden="1" customWidth="1"/>
    <col min="15" max="28" width="21.7109375" style="990" customWidth="1"/>
    <col min="29" max="71" width="0.85546875" style="990" customWidth="1"/>
    <col min="72" max="79" width="21.7109375" style="990" hidden="1" customWidth="1"/>
    <col min="80" max="81" width="29.140625" style="990" hidden="1" customWidth="1"/>
    <col min="82" max="89" width="21.7109375" style="990" hidden="1" customWidth="1"/>
    <col min="90" max="102" width="0.7109375" style="990" hidden="1" customWidth="1"/>
    <col min="103" max="114" width="21.7109375" style="990" hidden="1" customWidth="1"/>
    <col min="115" max="178" width="0.7109375" style="990" hidden="1" customWidth="1"/>
    <col min="179" max="179" width="0.140625" style="990" customWidth="1"/>
    <col min="180" max="184" width="8" style="990" customWidth="1"/>
    <col min="185" max="185" width="9.140625" style="990" hidden="1"/>
  </cols>
  <sheetData>
    <row r="1" spans="2:185" s="853" customFormat="1" ht="12" hidden="1" customHeight="1">
      <c r="B1" s="851"/>
      <c r="C1" s="852"/>
      <c r="D1" s="852"/>
      <c r="GC1" s="850" t="s">
        <v>14</v>
      </c>
    </row>
    <row r="2" spans="2:185" s="853" customFormat="1" ht="12" hidden="1" customHeight="1">
      <c r="B2" s="851"/>
      <c r="C2" s="852"/>
      <c r="D2" s="852"/>
      <c r="E2" s="852"/>
      <c r="F2" s="852"/>
      <c r="G2" s="852"/>
      <c r="H2" s="852"/>
      <c r="I2" s="852"/>
      <c r="J2" s="852"/>
      <c r="K2" s="852"/>
      <c r="L2" s="852"/>
      <c r="M2" s="852"/>
      <c r="N2" s="852"/>
      <c r="O2" s="852"/>
      <c r="P2" s="852"/>
      <c r="Q2" s="852"/>
      <c r="R2" s="852"/>
      <c r="S2" s="852"/>
      <c r="T2" s="852"/>
      <c r="U2" s="852"/>
      <c r="V2" s="852"/>
      <c r="W2" s="852"/>
      <c r="X2" s="852"/>
      <c r="Y2" s="852"/>
      <c r="Z2" s="852"/>
      <c r="AA2" s="852"/>
      <c r="AC2" s="852"/>
      <c r="AD2" s="852"/>
      <c r="AE2" s="852"/>
      <c r="AF2" s="852"/>
      <c r="AG2" s="852"/>
      <c r="AH2" s="852"/>
      <c r="AI2" s="852"/>
      <c r="AJ2" s="852"/>
      <c r="AK2" s="852"/>
      <c r="AL2" s="852"/>
      <c r="AM2" s="852"/>
      <c r="AN2" s="852"/>
      <c r="AO2" s="852"/>
      <c r="AP2" s="852"/>
      <c r="AQ2" s="852"/>
      <c r="AR2" s="852"/>
      <c r="AS2" s="852"/>
      <c r="AT2" s="852"/>
      <c r="AU2" s="852"/>
      <c r="AV2" s="852"/>
      <c r="AW2" s="852"/>
      <c r="AX2" s="852"/>
      <c r="AY2" s="852"/>
      <c r="AZ2" s="852"/>
      <c r="BA2" s="852"/>
      <c r="BB2" s="852"/>
      <c r="BC2" s="852"/>
      <c r="BD2" s="852"/>
      <c r="BE2" s="852"/>
      <c r="BF2" s="852"/>
      <c r="BG2" s="852"/>
      <c r="BH2" s="852"/>
      <c r="BI2" s="852"/>
      <c r="BJ2" s="852"/>
      <c r="BK2" s="852"/>
      <c r="BL2" s="852"/>
      <c r="BM2" s="852"/>
      <c r="BN2" s="852"/>
      <c r="BO2" s="852"/>
      <c r="BP2" s="852"/>
      <c r="BQ2" s="852"/>
      <c r="BR2" s="852"/>
      <c r="BS2" s="852"/>
      <c r="BT2" s="852"/>
      <c r="BU2" s="852"/>
      <c r="BV2" s="852"/>
      <c r="BW2" s="852"/>
      <c r="BX2" s="852"/>
      <c r="BY2" s="852"/>
      <c r="BZ2" s="852"/>
      <c r="CA2" s="852"/>
      <c r="CB2" s="852"/>
      <c r="CC2" s="852"/>
      <c r="CD2" s="852"/>
      <c r="CE2" s="852"/>
      <c r="CF2" s="852"/>
      <c r="CG2" s="852"/>
      <c r="CH2" s="852"/>
      <c r="CI2" s="852"/>
      <c r="CJ2" s="852"/>
      <c r="CK2" s="852"/>
      <c r="CL2" s="852"/>
      <c r="CM2" s="852"/>
      <c r="CN2" s="852"/>
      <c r="CO2" s="852"/>
      <c r="CP2" s="852"/>
      <c r="CQ2" s="852"/>
      <c r="CR2" s="852"/>
      <c r="CS2" s="852"/>
      <c r="CT2" s="852"/>
      <c r="CU2" s="852"/>
      <c r="CV2" s="852"/>
      <c r="CW2" s="852"/>
      <c r="CX2" s="852"/>
      <c r="CY2" s="852"/>
      <c r="CZ2" s="852"/>
      <c r="DA2" s="852"/>
      <c r="DB2" s="852"/>
      <c r="DC2" s="852"/>
      <c r="DD2" s="852"/>
      <c r="DE2" s="852"/>
      <c r="DF2" s="852"/>
      <c r="DG2" s="852"/>
      <c r="DH2" s="852"/>
      <c r="DI2" s="852"/>
      <c r="DJ2" s="852"/>
      <c r="DK2" s="852"/>
      <c r="DL2" s="852"/>
      <c r="DM2" s="852"/>
      <c r="DN2" s="852"/>
      <c r="DO2" s="852"/>
      <c r="DP2" s="852"/>
      <c r="DQ2" s="852"/>
      <c r="DR2" s="852"/>
      <c r="DS2" s="852"/>
      <c r="DT2" s="852"/>
      <c r="DU2" s="852"/>
      <c r="DV2" s="852"/>
      <c r="DW2" s="852"/>
      <c r="DX2" s="852"/>
      <c r="DY2" s="852"/>
      <c r="DZ2" s="852"/>
      <c r="EA2" s="852"/>
      <c r="EB2" s="852"/>
      <c r="EC2" s="852"/>
      <c r="ED2" s="852"/>
      <c r="EE2" s="852"/>
      <c r="EF2" s="852"/>
      <c r="EG2" s="852"/>
      <c r="EH2" s="852"/>
      <c r="EI2" s="852"/>
      <c r="EJ2" s="852"/>
      <c r="EK2" s="852"/>
      <c r="EL2" s="852"/>
      <c r="EM2" s="852"/>
      <c r="EN2" s="852"/>
      <c r="EO2" s="852"/>
      <c r="EP2" s="852"/>
      <c r="EQ2" s="852"/>
      <c r="ER2" s="852"/>
      <c r="ES2" s="852"/>
      <c r="ET2" s="852"/>
      <c r="EU2" s="852"/>
      <c r="EV2" s="852"/>
      <c r="EW2" s="852"/>
      <c r="EX2" s="852"/>
      <c r="EY2" s="852"/>
      <c r="EZ2" s="852"/>
      <c r="FA2" s="852"/>
      <c r="FB2" s="852"/>
      <c r="FC2" s="852"/>
      <c r="FD2" s="852"/>
      <c r="FE2" s="852"/>
      <c r="FF2" s="852"/>
      <c r="FG2" s="852"/>
      <c r="FH2" s="852"/>
      <c r="FI2" s="852"/>
      <c r="FJ2" s="852"/>
      <c r="FK2" s="852"/>
      <c r="FL2" s="852"/>
      <c r="FM2" s="852"/>
      <c r="FN2" s="852"/>
      <c r="FO2" s="852"/>
      <c r="FP2" s="852"/>
      <c r="FQ2" s="852"/>
      <c r="FR2" s="852"/>
      <c r="FS2" s="852"/>
      <c r="FT2" s="852"/>
      <c r="FU2" s="852"/>
      <c r="FV2" s="852"/>
      <c r="FW2" s="852"/>
      <c r="GC2" s="850">
        <v>0</v>
      </c>
    </row>
    <row r="3" spans="2:185" s="853" customFormat="1" ht="12" hidden="1" customHeight="1">
      <c r="B3" s="851"/>
      <c r="C3" s="852"/>
      <c r="D3" s="852"/>
      <c r="E3" s="852"/>
      <c r="F3" s="852"/>
      <c r="G3" s="852"/>
      <c r="H3" s="852"/>
      <c r="I3" s="852"/>
      <c r="J3" s="852"/>
      <c r="K3" s="852"/>
      <c r="L3" s="852"/>
      <c r="M3" s="852"/>
      <c r="N3" s="852"/>
      <c r="O3" s="852"/>
      <c r="P3" s="852"/>
      <c r="Q3" s="852"/>
      <c r="R3" s="852"/>
      <c r="S3" s="852"/>
      <c r="T3" s="852"/>
      <c r="U3" s="852"/>
      <c r="V3" s="852"/>
      <c r="W3" s="852"/>
      <c r="X3" s="852"/>
      <c r="Y3" s="852"/>
      <c r="Z3" s="852"/>
      <c r="AA3" s="852"/>
      <c r="AC3" s="852"/>
      <c r="AD3" s="852"/>
      <c r="AE3" s="852"/>
      <c r="AF3" s="852"/>
      <c r="AG3" s="852"/>
      <c r="AH3" s="852"/>
      <c r="AI3" s="852"/>
      <c r="AJ3" s="852"/>
      <c r="AK3" s="852"/>
      <c r="AL3" s="852"/>
      <c r="AM3" s="852"/>
      <c r="AN3" s="852"/>
      <c r="AO3" s="852"/>
      <c r="AP3" s="852"/>
      <c r="AQ3" s="852"/>
      <c r="AR3" s="852"/>
      <c r="AS3" s="852"/>
      <c r="AT3" s="852"/>
      <c r="AU3" s="852"/>
      <c r="AV3" s="852"/>
      <c r="AW3" s="852"/>
      <c r="AX3" s="852"/>
      <c r="AY3" s="852"/>
      <c r="AZ3" s="852"/>
      <c r="BA3" s="852"/>
      <c r="BB3" s="852"/>
      <c r="BC3" s="852"/>
      <c r="BD3" s="852"/>
      <c r="BE3" s="852"/>
      <c r="BF3" s="852"/>
      <c r="BG3" s="852"/>
      <c r="BH3" s="852"/>
      <c r="BI3" s="852"/>
      <c r="BJ3" s="852"/>
      <c r="BK3" s="852"/>
      <c r="BL3" s="852"/>
      <c r="BM3" s="852"/>
      <c r="BN3" s="852"/>
      <c r="BO3" s="852"/>
      <c r="BP3" s="852"/>
      <c r="BQ3" s="852"/>
      <c r="BR3" s="852"/>
      <c r="BS3" s="852"/>
      <c r="BT3" s="852"/>
      <c r="BU3" s="852"/>
      <c r="BV3" s="852"/>
      <c r="BW3" s="852"/>
      <c r="BX3" s="852"/>
      <c r="BY3" s="852"/>
      <c r="BZ3" s="852"/>
      <c r="CA3" s="852"/>
      <c r="CB3" s="852"/>
      <c r="CC3" s="852"/>
      <c r="CD3" s="852"/>
      <c r="CE3" s="852"/>
      <c r="CF3" s="852"/>
      <c r="CG3" s="852"/>
      <c r="CH3" s="852"/>
      <c r="CI3" s="852"/>
      <c r="CJ3" s="852"/>
      <c r="CK3" s="852"/>
      <c r="CL3" s="852"/>
      <c r="CM3" s="852"/>
      <c r="CN3" s="852"/>
      <c r="CO3" s="852"/>
      <c r="CP3" s="852"/>
      <c r="CQ3" s="852"/>
      <c r="CR3" s="852"/>
      <c r="CS3" s="852"/>
      <c r="CT3" s="852"/>
      <c r="CU3" s="852"/>
      <c r="CV3" s="852"/>
      <c r="CW3" s="852"/>
      <c r="CX3" s="852"/>
      <c r="CY3" s="852"/>
      <c r="CZ3" s="852"/>
      <c r="DA3" s="852"/>
      <c r="DB3" s="852"/>
      <c r="DC3" s="852"/>
      <c r="DD3" s="852"/>
      <c r="DE3" s="852"/>
      <c r="DF3" s="852"/>
      <c r="DG3" s="852"/>
      <c r="DH3" s="852"/>
      <c r="DI3" s="852"/>
      <c r="DJ3" s="852"/>
      <c r="DK3" s="852"/>
      <c r="DL3" s="852"/>
      <c r="DM3" s="852"/>
      <c r="DN3" s="852"/>
      <c r="DO3" s="852"/>
      <c r="DP3" s="852"/>
      <c r="DQ3" s="852"/>
      <c r="DR3" s="852"/>
      <c r="DS3" s="852"/>
      <c r="DT3" s="852"/>
      <c r="DU3" s="852"/>
      <c r="DV3" s="852"/>
      <c r="DW3" s="852"/>
      <c r="DX3" s="852"/>
      <c r="DY3" s="852"/>
      <c r="DZ3" s="852"/>
      <c r="EA3" s="852"/>
      <c r="EB3" s="852"/>
      <c r="EC3" s="852"/>
      <c r="ED3" s="852"/>
      <c r="EE3" s="852"/>
      <c r="EF3" s="852"/>
      <c r="EG3" s="852"/>
      <c r="EH3" s="852"/>
      <c r="EI3" s="852"/>
      <c r="EJ3" s="852"/>
      <c r="EK3" s="852"/>
      <c r="EL3" s="852"/>
      <c r="EM3" s="852"/>
      <c r="EN3" s="852"/>
      <c r="EO3" s="852"/>
      <c r="EP3" s="852"/>
      <c r="EQ3" s="852"/>
      <c r="ER3" s="852"/>
      <c r="ES3" s="852"/>
      <c r="ET3" s="852"/>
      <c r="EU3" s="852"/>
      <c r="EV3" s="852"/>
      <c r="EW3" s="852"/>
      <c r="EX3" s="852"/>
      <c r="EY3" s="852"/>
      <c r="EZ3" s="852"/>
      <c r="FA3" s="852"/>
      <c r="FB3" s="852"/>
      <c r="FC3" s="852"/>
      <c r="FD3" s="852"/>
      <c r="FE3" s="852"/>
      <c r="FF3" s="852"/>
      <c r="FG3" s="852"/>
      <c r="FH3" s="852"/>
      <c r="FI3" s="852"/>
      <c r="FJ3" s="852"/>
      <c r="FK3" s="852"/>
      <c r="FL3" s="852"/>
      <c r="FM3" s="852"/>
      <c r="FN3" s="852"/>
      <c r="FO3" s="852"/>
      <c r="FP3" s="852"/>
      <c r="FQ3" s="852"/>
      <c r="FR3" s="852"/>
      <c r="FS3" s="852"/>
      <c r="FT3" s="852"/>
      <c r="FU3" s="852"/>
      <c r="FV3" s="852"/>
      <c r="FW3" s="852"/>
      <c r="GC3" s="850">
        <v>0</v>
      </c>
    </row>
    <row r="4" spans="2:185" ht="10.5" customHeight="1">
      <c r="B4" s="855"/>
      <c r="C4" s="856"/>
      <c r="D4" s="856"/>
      <c r="E4" s="856"/>
      <c r="F4" s="856"/>
      <c r="G4" s="856"/>
      <c r="H4" s="857"/>
      <c r="I4" s="857"/>
      <c r="J4" s="857"/>
      <c r="K4" s="857"/>
      <c r="L4" s="857"/>
      <c r="M4" s="858"/>
      <c r="N4" s="858"/>
      <c r="O4" s="858"/>
      <c r="P4" s="858"/>
      <c r="Q4" s="858"/>
      <c r="R4" s="858"/>
      <c r="S4" s="858"/>
      <c r="T4" s="858"/>
      <c r="U4" s="858"/>
      <c r="V4" s="858"/>
      <c r="W4" s="858"/>
      <c r="X4" s="858"/>
      <c r="Y4" s="858"/>
      <c r="Z4" s="858"/>
      <c r="AA4" s="858"/>
      <c r="AB4" s="858"/>
      <c r="AC4" s="858"/>
      <c r="AD4" s="858"/>
      <c r="AE4" s="858"/>
      <c r="AF4" s="858"/>
      <c r="AG4" s="858"/>
      <c r="AH4" s="858"/>
      <c r="AI4" s="858"/>
      <c r="AJ4" s="858"/>
      <c r="AK4" s="858"/>
      <c r="AL4" s="858"/>
      <c r="AM4" s="858"/>
      <c r="AN4" s="858"/>
      <c r="AO4" s="858"/>
      <c r="AP4" s="858"/>
      <c r="AQ4" s="858"/>
      <c r="AR4" s="858"/>
      <c r="AS4" s="858"/>
      <c r="AT4" s="858"/>
      <c r="AU4" s="858"/>
      <c r="AV4" s="858"/>
      <c r="AW4" s="858"/>
      <c r="AX4" s="858"/>
      <c r="AY4" s="858"/>
      <c r="AZ4" s="858"/>
      <c r="BA4" s="858"/>
      <c r="BB4" s="858"/>
      <c r="BC4" s="858"/>
      <c r="BD4" s="858"/>
      <c r="BE4" s="858"/>
      <c r="BF4" s="858"/>
      <c r="BG4" s="858"/>
      <c r="BH4" s="858"/>
      <c r="BI4" s="858"/>
      <c r="BJ4" s="858"/>
      <c r="BK4" s="858"/>
      <c r="BL4" s="858"/>
      <c r="BM4" s="858"/>
      <c r="BN4" s="858"/>
      <c r="BO4" s="858"/>
      <c r="BP4" s="858"/>
      <c r="BQ4" s="858"/>
      <c r="BR4" s="858"/>
      <c r="BS4" s="858"/>
      <c r="BT4" s="858"/>
      <c r="BU4" s="858"/>
      <c r="BV4" s="858"/>
      <c r="BW4" s="858"/>
      <c r="BX4" s="858"/>
      <c r="BY4" s="858"/>
      <c r="BZ4" s="858"/>
      <c r="CA4" s="858"/>
      <c r="CB4" s="858"/>
      <c r="CC4" s="858"/>
      <c r="CD4" s="858"/>
      <c r="CE4" s="858"/>
      <c r="CF4" s="858"/>
      <c r="CG4" s="858"/>
      <c r="CH4" s="858"/>
      <c r="CI4" s="858"/>
      <c r="CJ4" s="858"/>
      <c r="CK4" s="858"/>
      <c r="CL4" s="858"/>
      <c r="CM4" s="858"/>
      <c r="CN4" s="858"/>
      <c r="CO4" s="858"/>
      <c r="CP4" s="858"/>
      <c r="CQ4" s="858"/>
      <c r="CR4" s="858"/>
      <c r="CS4" s="858"/>
      <c r="CT4" s="858"/>
      <c r="CU4" s="858"/>
      <c r="CV4" s="858"/>
      <c r="CW4" s="858"/>
      <c r="CX4" s="858"/>
      <c r="CY4" s="858"/>
      <c r="CZ4" s="858"/>
      <c r="DA4" s="858"/>
      <c r="DB4" s="858"/>
      <c r="DC4" s="858"/>
      <c r="DD4" s="858"/>
      <c r="DE4" s="858"/>
      <c r="DF4" s="858"/>
      <c r="DG4" s="858"/>
      <c r="DH4" s="858"/>
      <c r="DI4" s="858"/>
      <c r="DJ4" s="858"/>
      <c r="DK4" s="858"/>
      <c r="DL4" s="858"/>
      <c r="DM4" s="858"/>
      <c r="DN4" s="858"/>
      <c r="DO4" s="858"/>
      <c r="DP4" s="858"/>
      <c r="DQ4" s="858"/>
      <c r="DR4" s="858"/>
      <c r="DS4" s="858"/>
      <c r="DT4" s="858"/>
      <c r="DU4" s="858"/>
      <c r="DV4" s="858"/>
      <c r="DW4" s="858"/>
      <c r="DX4" s="858"/>
      <c r="DY4" s="858"/>
      <c r="DZ4" s="858"/>
      <c r="EA4" s="858"/>
      <c r="EB4" s="858"/>
      <c r="EC4" s="858"/>
      <c r="ED4" s="858"/>
      <c r="EE4" s="858"/>
      <c r="EF4" s="858"/>
      <c r="EG4" s="858"/>
      <c r="EH4" s="858"/>
      <c r="EI4" s="858"/>
      <c r="EJ4" s="858"/>
      <c r="EK4" s="858"/>
      <c r="EL4" s="858"/>
      <c r="EM4" s="858"/>
      <c r="EN4" s="858"/>
      <c r="EO4" s="858"/>
      <c r="EP4" s="858"/>
      <c r="EQ4" s="858"/>
      <c r="ER4" s="858"/>
      <c r="ES4" s="858"/>
      <c r="ET4" s="858"/>
      <c r="EU4" s="858"/>
      <c r="EV4" s="858"/>
      <c r="EW4" s="858"/>
      <c r="EX4" s="858"/>
      <c r="EY4" s="858"/>
      <c r="EZ4" s="858"/>
      <c r="FA4" s="858"/>
      <c r="FB4" s="858"/>
      <c r="FC4" s="858"/>
      <c r="FD4" s="858"/>
      <c r="FE4" s="858"/>
      <c r="FF4" s="858"/>
      <c r="FG4" s="858"/>
      <c r="FH4" s="858"/>
      <c r="FI4" s="858"/>
      <c r="FJ4" s="858"/>
      <c r="FK4" s="858"/>
      <c r="FL4" s="858"/>
      <c r="FM4" s="858"/>
      <c r="FN4" s="858"/>
      <c r="FO4" s="858"/>
      <c r="FP4" s="858"/>
      <c r="FQ4" s="858"/>
      <c r="FR4" s="858"/>
      <c r="FS4" s="858"/>
      <c r="FT4" s="858"/>
      <c r="FU4" s="858"/>
      <c r="FV4" s="858"/>
      <c r="FW4" s="858"/>
      <c r="GC4" s="854">
        <v>10</v>
      </c>
    </row>
    <row r="5" spans="2:185" s="1790" customFormat="1" ht="27.4" customHeight="1">
      <c r="B5" s="1789"/>
      <c r="E5" s="1791"/>
      <c r="F5" s="270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429"/>
      <c r="H5" s="2429"/>
      <c r="I5" s="2429"/>
      <c r="J5" s="2429"/>
      <c r="K5" s="2429"/>
      <c r="L5" s="2429"/>
      <c r="M5" s="2429"/>
      <c r="N5" s="2429"/>
      <c r="O5" s="2429"/>
      <c r="P5" s="2429"/>
      <c r="Q5" s="2429"/>
      <c r="R5" s="2429"/>
      <c r="S5" s="2429"/>
      <c r="T5" s="2429"/>
      <c r="U5" s="2429"/>
      <c r="V5" s="2429"/>
      <c r="W5" s="2429"/>
      <c r="X5" s="2429"/>
      <c r="Y5" s="2429"/>
      <c r="Z5" s="2429"/>
      <c r="AA5" s="2429"/>
      <c r="AB5" s="2429"/>
      <c r="AC5" s="2429"/>
      <c r="AD5" s="2429"/>
      <c r="AE5" s="2429"/>
      <c r="AF5" s="2429"/>
      <c r="AG5" s="2429"/>
      <c r="AH5" s="2429"/>
      <c r="AI5" s="2429"/>
      <c r="AJ5" s="2429"/>
      <c r="AK5" s="2429"/>
      <c r="AL5" s="2429"/>
      <c r="AM5" s="2429"/>
      <c r="AN5" s="2429"/>
      <c r="AO5" s="2429"/>
      <c r="AP5" s="2429"/>
      <c r="AQ5" s="2429"/>
      <c r="AR5" s="2429"/>
      <c r="AS5" s="2429"/>
      <c r="AT5" s="2429"/>
      <c r="AU5" s="2429"/>
      <c r="AV5" s="2429"/>
      <c r="AW5" s="2429"/>
      <c r="AX5" s="2429"/>
      <c r="AY5" s="2429"/>
      <c r="AZ5" s="2429"/>
      <c r="BA5" s="2429"/>
      <c r="BB5" s="2429"/>
      <c r="BC5" s="2429"/>
      <c r="BD5" s="2429"/>
      <c r="BE5" s="2429"/>
      <c r="BF5" s="2429"/>
      <c r="BG5" s="2429"/>
      <c r="BH5" s="2429"/>
      <c r="BI5" s="2429"/>
      <c r="BJ5" s="2429"/>
      <c r="BK5" s="2429"/>
      <c r="BL5" s="2429"/>
      <c r="BM5" s="2429"/>
      <c r="BN5" s="2429"/>
      <c r="BO5" s="2429"/>
      <c r="BP5" s="2429"/>
      <c r="BQ5" s="2429"/>
      <c r="BR5" s="2429"/>
      <c r="BS5" s="2429"/>
      <c r="GC5" s="1790">
        <v>26</v>
      </c>
    </row>
    <row r="6" spans="2:185" s="2016" customFormat="1" ht="18.75" customHeight="1">
      <c r="B6" s="871"/>
      <c r="E6" s="873"/>
      <c r="F6" s="2471" t="str">
        <f>IF(org=0,"Не определено",org)</f>
        <v>ПАО "ТГК-2"</v>
      </c>
      <c r="G6" s="2472"/>
      <c r="H6" s="2472"/>
      <c r="I6" s="2472"/>
      <c r="J6" s="2472"/>
      <c r="K6" s="2472"/>
      <c r="L6" s="2472"/>
      <c r="M6" s="2472"/>
      <c r="N6" s="2472"/>
      <c r="O6" s="2472"/>
      <c r="P6" s="2472"/>
      <c r="Q6" s="2472"/>
      <c r="R6" s="2472"/>
      <c r="S6" s="2472"/>
      <c r="T6" s="2472"/>
      <c r="U6" s="2472"/>
      <c r="V6" s="2472"/>
      <c r="W6" s="2472"/>
      <c r="X6" s="2472"/>
      <c r="Y6" s="2472"/>
      <c r="Z6" s="2472"/>
      <c r="AA6" s="2472"/>
      <c r="AB6" s="2472"/>
      <c r="AC6" s="2472"/>
      <c r="AD6" s="2472"/>
      <c r="AE6" s="2472"/>
      <c r="AF6" s="2472"/>
      <c r="AG6" s="2472"/>
      <c r="AH6" s="2472"/>
      <c r="AI6" s="2472"/>
      <c r="AJ6" s="2472"/>
      <c r="AK6" s="2472"/>
      <c r="AL6" s="2472"/>
      <c r="AM6" s="2472"/>
      <c r="AN6" s="2472"/>
      <c r="AO6" s="2472"/>
      <c r="AP6" s="2472"/>
      <c r="AQ6" s="2472"/>
      <c r="AR6" s="2472"/>
      <c r="AS6" s="2472"/>
      <c r="AT6" s="2472"/>
      <c r="AU6" s="2472"/>
      <c r="AV6" s="2472"/>
      <c r="AW6" s="2472"/>
      <c r="AX6" s="2472"/>
      <c r="AY6" s="2472"/>
      <c r="AZ6" s="2472"/>
      <c r="BA6" s="2472"/>
      <c r="BB6" s="2472"/>
      <c r="BC6" s="2472"/>
      <c r="BD6" s="2472"/>
      <c r="BE6" s="2472"/>
      <c r="BF6" s="2472"/>
      <c r="BG6" s="2472"/>
      <c r="BH6" s="2472"/>
      <c r="BI6" s="2472"/>
      <c r="BJ6" s="2472"/>
      <c r="BK6" s="2472"/>
      <c r="BL6" s="2472"/>
      <c r="BM6" s="2472"/>
      <c r="BN6" s="2472"/>
      <c r="BO6" s="2472"/>
      <c r="BP6" s="2472"/>
      <c r="BQ6" s="2472"/>
      <c r="BR6" s="2472"/>
      <c r="BS6" s="2472"/>
      <c r="GC6" s="872">
        <v>18</v>
      </c>
    </row>
    <row r="7" spans="2:185" s="861" customFormat="1" ht="10.5" customHeight="1">
      <c r="B7" s="860"/>
      <c r="G7" s="863"/>
      <c r="H7" s="857"/>
      <c r="I7" s="857"/>
      <c r="J7" s="857"/>
      <c r="K7" s="857"/>
      <c r="L7" s="857"/>
      <c r="GC7" s="859">
        <v>10</v>
      </c>
    </row>
    <row r="8" spans="2:185" s="861" customFormat="1" ht="11.25" hidden="1" customHeight="1">
      <c r="B8" s="862"/>
      <c r="F8" s="983"/>
      <c r="G8" s="696"/>
      <c r="H8" s="296"/>
      <c r="I8" s="296"/>
      <c r="J8" s="296"/>
      <c r="K8" s="296"/>
      <c r="L8" s="296"/>
      <c r="M8" s="983"/>
      <c r="N8" s="983"/>
      <c r="O8" s="2718" t="s">
        <v>1270</v>
      </c>
      <c r="P8" s="2719"/>
      <c r="Q8" s="2719"/>
      <c r="R8" s="2719"/>
      <c r="S8" s="2719"/>
      <c r="T8" s="2719"/>
      <c r="U8" s="2719"/>
      <c r="V8" s="2719"/>
      <c r="W8" s="2719"/>
      <c r="X8" s="2719"/>
      <c r="Y8" s="2719"/>
      <c r="Z8" s="2719"/>
      <c r="AA8" s="2719"/>
      <c r="AB8" s="2719"/>
      <c r="AC8" s="2719"/>
      <c r="AD8" s="2719"/>
      <c r="AE8" s="2719"/>
      <c r="AF8" s="2719"/>
      <c r="AG8" s="2719"/>
      <c r="AH8" s="2719"/>
      <c r="AI8" s="2719"/>
      <c r="AJ8" s="2719"/>
      <c r="AK8" s="2719"/>
      <c r="AL8" s="2719"/>
      <c r="AM8" s="2719"/>
      <c r="AN8" s="2719"/>
      <c r="AO8" s="2719"/>
      <c r="AP8" s="2719"/>
      <c r="AQ8" s="2719"/>
      <c r="AR8" s="2719"/>
      <c r="AS8" s="2719"/>
      <c r="AT8" s="2719"/>
      <c r="AU8" s="2719"/>
      <c r="AV8" s="2719"/>
      <c r="AW8" s="2719"/>
      <c r="AX8" s="2719"/>
      <c r="AY8" s="2719"/>
      <c r="AZ8" s="2719"/>
      <c r="BA8" s="2719"/>
      <c r="BB8" s="2719"/>
      <c r="BC8" s="2719"/>
      <c r="BD8" s="2719"/>
      <c r="BE8" s="2719"/>
      <c r="BF8" s="2719"/>
      <c r="BG8" s="2719"/>
      <c r="BH8" s="2719"/>
      <c r="BI8" s="2719"/>
      <c r="BJ8" s="2719"/>
      <c r="BK8" s="2719"/>
      <c r="BL8" s="2719"/>
      <c r="BM8" s="2719"/>
      <c r="BN8" s="2719"/>
      <c r="BO8" s="2719"/>
      <c r="BP8" s="2719"/>
      <c r="BQ8" s="2719"/>
      <c r="BR8" s="2719"/>
      <c r="BS8" s="2720"/>
      <c r="BT8" s="2707"/>
      <c r="BU8" s="2708"/>
      <c r="BV8" s="2708"/>
      <c r="BW8" s="2708"/>
      <c r="BX8" s="2708"/>
      <c r="BY8" s="2708"/>
      <c r="BZ8" s="2708"/>
      <c r="CA8" s="2708"/>
      <c r="CB8" s="2708"/>
      <c r="CC8" s="2708"/>
      <c r="CD8" s="2708"/>
      <c r="CE8" s="2708"/>
      <c r="CF8" s="2708"/>
      <c r="CG8" s="2708"/>
      <c r="CH8" s="2708"/>
      <c r="CI8" s="2708"/>
      <c r="CJ8" s="2708"/>
      <c r="CK8" s="2708"/>
      <c r="CL8" s="2708"/>
      <c r="CM8" s="2708"/>
      <c r="CN8" s="2708"/>
      <c r="CO8" s="2708"/>
      <c r="CP8" s="2708"/>
      <c r="CQ8" s="2708"/>
      <c r="CR8" s="2708"/>
      <c r="CS8" s="2708"/>
      <c r="CT8" s="2708"/>
      <c r="CU8" s="2708"/>
      <c r="CV8" s="2708"/>
      <c r="CW8" s="2708"/>
      <c r="CX8" s="2709"/>
      <c r="CY8" s="2710"/>
      <c r="CZ8" s="2711"/>
      <c r="DA8" s="2711"/>
      <c r="DB8" s="2711"/>
      <c r="DC8" s="2711"/>
      <c r="DD8" s="2711"/>
      <c r="DE8" s="2711"/>
      <c r="DF8" s="2711"/>
      <c r="DG8" s="2711"/>
      <c r="DH8" s="2711"/>
      <c r="DI8" s="2711"/>
      <c r="DJ8" s="2711"/>
      <c r="DK8" s="2711"/>
      <c r="DL8" s="2711"/>
      <c r="DM8" s="2711"/>
      <c r="DN8" s="2711"/>
      <c r="DO8" s="2711"/>
      <c r="DP8" s="2711"/>
      <c r="DQ8" s="2711"/>
      <c r="DR8" s="2711"/>
      <c r="DS8" s="2711"/>
      <c r="DT8" s="2711"/>
      <c r="DU8" s="2711"/>
      <c r="DV8" s="2711"/>
      <c r="DW8" s="2711"/>
      <c r="DX8" s="2712"/>
      <c r="DY8" s="2713" t="s">
        <v>1271</v>
      </c>
      <c r="DZ8" s="2714"/>
      <c r="EA8" s="2714"/>
      <c r="EB8" s="2714"/>
      <c r="EC8" s="2714"/>
      <c r="ED8" s="2714"/>
      <c r="EE8" s="2714"/>
      <c r="EF8" s="2714"/>
      <c r="EG8" s="2714"/>
      <c r="EH8" s="2714"/>
      <c r="EI8" s="2714"/>
      <c r="EJ8" s="2714"/>
      <c r="EK8" s="2714"/>
      <c r="EL8" s="2714"/>
      <c r="EM8" s="2714"/>
      <c r="EN8" s="2714"/>
      <c r="EO8" s="2714"/>
      <c r="EP8" s="2714"/>
      <c r="EQ8" s="2714"/>
      <c r="ER8" s="2714"/>
      <c r="ES8" s="2714"/>
      <c r="ET8" s="2714"/>
      <c r="EU8" s="2714"/>
      <c r="EV8" s="2714"/>
      <c r="EW8" s="2714"/>
      <c r="EX8" s="2714"/>
      <c r="EY8" s="2714"/>
      <c r="EZ8" s="2714"/>
      <c r="FA8" s="2714"/>
      <c r="FB8" s="2714"/>
      <c r="FC8" s="2714"/>
      <c r="FD8" s="2714"/>
      <c r="FE8" s="2714"/>
      <c r="FF8" s="2714"/>
      <c r="FG8" s="2714"/>
      <c r="FH8" s="2714"/>
      <c r="FI8" s="2714"/>
      <c r="FJ8" s="2714"/>
      <c r="FK8" s="2714"/>
      <c r="FL8" s="2714"/>
      <c r="FM8" s="2714"/>
      <c r="FN8" s="2714"/>
      <c r="FO8" s="2714"/>
      <c r="FP8" s="2714"/>
      <c r="FQ8" s="2714"/>
      <c r="FR8" s="2714"/>
      <c r="FS8" s="2714"/>
      <c r="FT8" s="2714"/>
      <c r="FU8" s="2714"/>
      <c r="FV8" s="2714"/>
      <c r="FW8" s="2715"/>
      <c r="FX8" s="983"/>
      <c r="GC8" s="861">
        <v>0</v>
      </c>
    </row>
    <row r="9" spans="2:185" s="861" customFormat="1" ht="11.25" hidden="1" customHeight="1">
      <c r="B9" s="862"/>
      <c r="F9" s="983"/>
      <c r="G9" s="696"/>
      <c r="H9" s="296"/>
      <c r="I9" s="296"/>
      <c r="J9" s="296"/>
      <c r="K9" s="296"/>
      <c r="L9" s="296"/>
      <c r="M9" s="983"/>
      <c r="N9" s="983"/>
      <c r="O9" s="983"/>
      <c r="P9" s="983"/>
      <c r="Q9" s="983"/>
      <c r="R9" s="983"/>
      <c r="S9" s="983"/>
      <c r="T9" s="983"/>
      <c r="U9" s="983"/>
      <c r="V9" s="983"/>
      <c r="W9" s="983"/>
      <c r="X9" s="983"/>
      <c r="Y9" s="983"/>
      <c r="Z9" s="983"/>
      <c r="AA9" s="983"/>
      <c r="AB9" s="983"/>
      <c r="AC9" s="983"/>
      <c r="AD9" s="983"/>
      <c r="AE9" s="983"/>
      <c r="AF9" s="983"/>
      <c r="AG9" s="983"/>
      <c r="AH9" s="983"/>
      <c r="AI9" s="983"/>
      <c r="AJ9" s="983"/>
      <c r="AK9" s="983"/>
      <c r="AL9" s="983"/>
      <c r="AM9" s="983"/>
      <c r="AN9" s="983"/>
      <c r="AO9" s="983"/>
      <c r="AP9" s="983"/>
      <c r="AQ9" s="983"/>
      <c r="AR9" s="983"/>
      <c r="AS9" s="983"/>
      <c r="AT9" s="983"/>
      <c r="AU9" s="983"/>
      <c r="AV9" s="983"/>
      <c r="AW9" s="983"/>
      <c r="AX9" s="983"/>
      <c r="AY9" s="983"/>
      <c r="AZ9" s="983"/>
      <c r="BA9" s="983"/>
      <c r="BB9" s="983"/>
      <c r="BC9" s="983"/>
      <c r="BD9" s="983"/>
      <c r="BE9" s="983"/>
      <c r="BF9" s="983"/>
      <c r="BG9" s="983"/>
      <c r="BH9" s="983"/>
      <c r="BI9" s="983"/>
      <c r="BJ9" s="983"/>
      <c r="BK9" s="983"/>
      <c r="BL9" s="983"/>
      <c r="BM9" s="983"/>
      <c r="BN9" s="983"/>
      <c r="BO9" s="983"/>
      <c r="BP9" s="983"/>
      <c r="BQ9" s="983"/>
      <c r="BR9" s="983"/>
      <c r="BS9" s="983"/>
      <c r="BT9" s="983"/>
      <c r="BU9" s="983"/>
      <c r="BV9" s="983"/>
      <c r="BW9" s="983"/>
      <c r="BX9" s="983"/>
      <c r="BY9" s="983"/>
      <c r="BZ9" s="983"/>
      <c r="CA9" s="983"/>
      <c r="CB9" s="983"/>
      <c r="CC9" s="983"/>
      <c r="CD9" s="983"/>
      <c r="CE9" s="983"/>
      <c r="CF9" s="983"/>
      <c r="CG9" s="983"/>
      <c r="CH9" s="983"/>
      <c r="CI9" s="983"/>
      <c r="CJ9" s="983"/>
      <c r="CK9" s="983"/>
      <c r="CL9" s="983"/>
      <c r="CM9" s="983"/>
      <c r="CN9" s="983"/>
      <c r="CO9" s="983"/>
      <c r="CP9" s="983"/>
      <c r="CQ9" s="983"/>
      <c r="CR9" s="983"/>
      <c r="CS9" s="983"/>
      <c r="CT9" s="983"/>
      <c r="CU9" s="983"/>
      <c r="CV9" s="983"/>
      <c r="CW9" s="983"/>
      <c r="CX9" s="983"/>
      <c r="CY9" s="983"/>
      <c r="CZ9" s="983"/>
      <c r="DA9" s="983"/>
      <c r="DB9" s="983"/>
      <c r="DC9" s="983"/>
      <c r="DD9" s="983"/>
      <c r="DE9" s="983"/>
      <c r="DF9" s="983"/>
      <c r="DG9" s="983"/>
      <c r="DH9" s="983"/>
      <c r="DI9" s="983"/>
      <c r="DJ9" s="983"/>
      <c r="DK9" s="983"/>
      <c r="DL9" s="983"/>
      <c r="DM9" s="983"/>
      <c r="DN9" s="983"/>
      <c r="DO9" s="983"/>
      <c r="DP9" s="983"/>
      <c r="DQ9" s="983"/>
      <c r="DR9" s="983"/>
      <c r="DS9" s="983"/>
      <c r="DT9" s="983"/>
      <c r="DU9" s="983"/>
      <c r="DV9" s="983"/>
      <c r="DW9" s="983"/>
      <c r="DX9" s="983"/>
      <c r="DY9" s="983"/>
      <c r="DZ9" s="983"/>
      <c r="EA9" s="983"/>
      <c r="EB9" s="983"/>
      <c r="EC9" s="983"/>
      <c r="ED9" s="983"/>
      <c r="EE9" s="983"/>
      <c r="EF9" s="983"/>
      <c r="EG9" s="983"/>
      <c r="EH9" s="983"/>
      <c r="EI9" s="983"/>
      <c r="EJ9" s="983"/>
      <c r="EK9" s="983"/>
      <c r="EL9" s="983"/>
      <c r="EM9" s="983"/>
      <c r="EN9" s="983"/>
      <c r="EO9" s="983"/>
      <c r="EP9" s="983"/>
      <c r="EQ9" s="983"/>
      <c r="ER9" s="983"/>
      <c r="ES9" s="983"/>
      <c r="ET9" s="983"/>
      <c r="EU9" s="983"/>
      <c r="EV9" s="983"/>
      <c r="EW9" s="983"/>
      <c r="EX9" s="983"/>
      <c r="EY9" s="983"/>
      <c r="EZ9" s="983"/>
      <c r="FA9" s="983"/>
      <c r="FB9" s="983"/>
      <c r="FC9" s="983"/>
      <c r="FD9" s="983"/>
      <c r="FE9" s="983"/>
      <c r="FF9" s="983"/>
      <c r="FG9" s="983"/>
      <c r="FH9" s="983"/>
      <c r="FI9" s="983"/>
      <c r="FJ9" s="983"/>
      <c r="FK9" s="983"/>
      <c r="FL9" s="983"/>
      <c r="FM9" s="983"/>
      <c r="FN9" s="983"/>
      <c r="FO9" s="983"/>
      <c r="FP9" s="983"/>
      <c r="FQ9" s="983"/>
      <c r="FR9" s="983"/>
      <c r="FS9" s="983"/>
      <c r="FT9" s="983"/>
      <c r="FU9" s="983"/>
      <c r="FV9" s="983"/>
      <c r="FW9" s="2716"/>
      <c r="FX9" s="983"/>
      <c r="GC9" s="861">
        <v>0</v>
      </c>
    </row>
    <row r="10" spans="2:185" s="861" customFormat="1" ht="11.45" customHeight="1">
      <c r="B10" s="862"/>
      <c r="F10" s="2654" t="s">
        <v>319</v>
      </c>
      <c r="G10" s="2701"/>
      <c r="H10" s="2701"/>
      <c r="I10" s="2701"/>
      <c r="J10" s="2701"/>
      <c r="K10" s="2701"/>
      <c r="L10" s="2701"/>
      <c r="M10" s="2701"/>
      <c r="N10" s="2701"/>
      <c r="O10" s="2701"/>
      <c r="P10" s="2701"/>
      <c r="Q10" s="2701"/>
      <c r="R10" s="2701"/>
      <c r="S10" s="2701"/>
      <c r="T10" s="2701"/>
      <c r="U10" s="2701"/>
      <c r="V10" s="2701"/>
      <c r="W10" s="2701"/>
      <c r="X10" s="2701"/>
      <c r="Y10" s="2701"/>
      <c r="Z10" s="2701"/>
      <c r="AA10" s="2701"/>
      <c r="AB10" s="2701"/>
      <c r="AC10" s="2701"/>
      <c r="AD10" s="2701"/>
      <c r="AE10" s="2701"/>
      <c r="AF10" s="2701"/>
      <c r="AG10" s="2701"/>
      <c r="AH10" s="2701"/>
      <c r="AI10" s="2701"/>
      <c r="AJ10" s="2701"/>
      <c r="AK10" s="2701"/>
      <c r="AL10" s="2701"/>
      <c r="AM10" s="2701"/>
      <c r="AN10" s="2701"/>
      <c r="AO10" s="2701"/>
      <c r="AP10" s="2701"/>
      <c r="AQ10" s="2701"/>
      <c r="AR10" s="2701"/>
      <c r="AS10" s="2701"/>
      <c r="AT10" s="2701"/>
      <c r="AU10" s="2701"/>
      <c r="AV10" s="2701"/>
      <c r="AW10" s="2701"/>
      <c r="AX10" s="2701"/>
      <c r="AY10" s="2701"/>
      <c r="AZ10" s="2701"/>
      <c r="BA10" s="2701"/>
      <c r="BB10" s="2701"/>
      <c r="BC10" s="2701"/>
      <c r="BD10" s="2701"/>
      <c r="BE10" s="2701"/>
      <c r="BF10" s="2701"/>
      <c r="BG10" s="2701"/>
      <c r="BH10" s="2701"/>
      <c r="BI10" s="2701"/>
      <c r="BJ10" s="2701"/>
      <c r="BK10" s="2701"/>
      <c r="BL10" s="2701"/>
      <c r="BM10" s="2701"/>
      <c r="BN10" s="2701"/>
      <c r="BO10" s="2701"/>
      <c r="BP10" s="2701"/>
      <c r="BQ10" s="2701"/>
      <c r="BR10" s="2701"/>
      <c r="BS10" s="2701"/>
      <c r="BT10" s="2701"/>
      <c r="BU10" s="2701"/>
      <c r="BV10" s="2701"/>
      <c r="BW10" s="2701"/>
      <c r="BX10" s="2701"/>
      <c r="BY10" s="2701"/>
      <c r="BZ10" s="2701"/>
      <c r="CA10" s="2701"/>
      <c r="CB10" s="2701"/>
      <c r="CC10" s="2701"/>
      <c r="CD10" s="2701"/>
      <c r="CE10" s="2701"/>
      <c r="CF10" s="2701"/>
      <c r="CG10" s="2701"/>
      <c r="CH10" s="2701"/>
      <c r="CI10" s="2701"/>
      <c r="CJ10" s="2701"/>
      <c r="CK10" s="2701"/>
      <c r="CL10" s="2701"/>
      <c r="CM10" s="2701"/>
      <c r="CN10" s="2701"/>
      <c r="CO10" s="2701"/>
      <c r="CP10" s="2701"/>
      <c r="CQ10" s="2701"/>
      <c r="CR10" s="2701"/>
      <c r="CS10" s="2701"/>
      <c r="CT10" s="2701"/>
      <c r="CU10" s="2701"/>
      <c r="CV10" s="2701"/>
      <c r="CW10" s="2701"/>
      <c r="CX10" s="2701"/>
      <c r="CY10" s="2701"/>
      <c r="CZ10" s="2701"/>
      <c r="DA10" s="2701"/>
      <c r="DB10" s="2701"/>
      <c r="DC10" s="2701"/>
      <c r="DD10" s="2701"/>
      <c r="DE10" s="2701"/>
      <c r="DF10" s="2701"/>
      <c r="DG10" s="2701"/>
      <c r="DH10" s="2701"/>
      <c r="DI10" s="2701"/>
      <c r="DJ10" s="2701"/>
      <c r="DK10" s="2701"/>
      <c r="DL10" s="2701"/>
      <c r="DM10" s="2701"/>
      <c r="DN10" s="2701"/>
      <c r="DO10" s="2701"/>
      <c r="DP10" s="2701"/>
      <c r="DQ10" s="2701"/>
      <c r="DR10" s="2701"/>
      <c r="DS10" s="2701"/>
      <c r="DT10" s="2701"/>
      <c r="DU10" s="2701"/>
      <c r="DV10" s="2701"/>
      <c r="DW10" s="2701"/>
      <c r="DX10" s="2701"/>
      <c r="DY10" s="2701"/>
      <c r="DZ10" s="2701"/>
      <c r="EA10" s="2701"/>
      <c r="EB10" s="2701"/>
      <c r="EC10" s="2701"/>
      <c r="ED10" s="2701"/>
      <c r="EE10" s="2701"/>
      <c r="EF10" s="2701"/>
      <c r="EG10" s="2701"/>
      <c r="EH10" s="2701"/>
      <c r="EI10" s="2701"/>
      <c r="EJ10" s="2701"/>
      <c r="EK10" s="2701"/>
      <c r="EL10" s="2701"/>
      <c r="EM10" s="2701"/>
      <c r="EN10" s="2701"/>
      <c r="EO10" s="2701"/>
      <c r="EP10" s="2701"/>
      <c r="EQ10" s="2701"/>
      <c r="ER10" s="2701"/>
      <c r="ES10" s="2701"/>
      <c r="ET10" s="2701"/>
      <c r="EU10" s="2701"/>
      <c r="EV10" s="2701"/>
      <c r="EW10" s="2701"/>
      <c r="EX10" s="2701"/>
      <c r="EY10" s="2701"/>
      <c r="EZ10" s="2701"/>
      <c r="FA10" s="2701"/>
      <c r="FB10" s="2701"/>
      <c r="FC10" s="2701"/>
      <c r="FD10" s="2701"/>
      <c r="FE10" s="2701"/>
      <c r="FF10" s="2701"/>
      <c r="FG10" s="2701"/>
      <c r="FH10" s="2701"/>
      <c r="FI10" s="2701"/>
      <c r="FJ10" s="2701"/>
      <c r="FK10" s="2701"/>
      <c r="FL10" s="2701"/>
      <c r="FM10" s="2701"/>
      <c r="FN10" s="2701"/>
      <c r="FO10" s="2701"/>
      <c r="FP10" s="2701"/>
      <c r="FQ10" s="2701"/>
      <c r="FR10" s="2701"/>
      <c r="FS10" s="2701"/>
      <c r="FT10" s="2701"/>
      <c r="FU10" s="2701"/>
      <c r="FV10" s="2604"/>
      <c r="FW10" s="2716"/>
      <c r="FX10" s="983"/>
      <c r="GC10" s="861">
        <v>11</v>
      </c>
    </row>
    <row r="11" spans="2:185" ht="12.75" customHeight="1">
      <c r="E11" s="865"/>
      <c r="F11" s="2462" t="s">
        <v>89</v>
      </c>
      <c r="G11" s="2462" t="s">
        <v>1272</v>
      </c>
      <c r="H11" s="2462" t="s">
        <v>1273</v>
      </c>
      <c r="I11" s="2462" t="s">
        <v>1274</v>
      </c>
      <c r="J11" s="2706"/>
      <c r="K11" s="2706"/>
      <c r="L11" s="2706"/>
      <c r="M11" s="2706"/>
      <c r="N11" s="2706"/>
      <c r="O11" s="2466" t="s">
        <v>1275</v>
      </c>
      <c r="P11" s="2466"/>
      <c r="Q11" s="2466"/>
      <c r="R11" s="2466"/>
      <c r="S11" s="2466"/>
      <c r="T11" s="2466"/>
      <c r="U11" s="2466"/>
      <c r="V11" s="2466"/>
      <c r="W11" s="2466"/>
      <c r="X11" s="2466"/>
      <c r="Y11" s="2466"/>
      <c r="Z11" s="2466"/>
      <c r="AA11" s="2466"/>
      <c r="AB11" s="2466"/>
      <c r="AC11" s="2704"/>
      <c r="AD11" s="2704"/>
      <c r="AE11" s="2704"/>
      <c r="AF11" s="2704"/>
      <c r="AG11" s="2704"/>
      <c r="AH11" s="2704"/>
      <c r="AI11" s="2704"/>
      <c r="AJ11" s="2704"/>
      <c r="AK11" s="2704"/>
      <c r="AL11" s="2704"/>
      <c r="AM11" s="2704"/>
      <c r="AN11" s="2704"/>
      <c r="AO11" s="2704"/>
      <c r="AP11" s="2704"/>
      <c r="AQ11" s="2704"/>
      <c r="AR11" s="2704"/>
      <c r="AS11" s="2704"/>
      <c r="AT11" s="2704"/>
      <c r="AU11" s="2704"/>
      <c r="AV11" s="2704"/>
      <c r="AW11" s="2704"/>
      <c r="AX11" s="2704"/>
      <c r="AY11" s="2704"/>
      <c r="AZ11" s="2704"/>
      <c r="BA11" s="2704"/>
      <c r="BB11" s="2704"/>
      <c r="BC11" s="2704"/>
      <c r="BD11" s="2704"/>
      <c r="BE11" s="2704"/>
      <c r="BF11" s="2704"/>
      <c r="BG11" s="2704"/>
      <c r="BH11" s="2704"/>
      <c r="BI11" s="2704"/>
      <c r="BJ11" s="2704"/>
      <c r="BK11" s="2704"/>
      <c r="BL11" s="2704"/>
      <c r="BM11" s="2704"/>
      <c r="BN11" s="2704"/>
      <c r="BO11" s="2704"/>
      <c r="BP11" s="2704"/>
      <c r="BQ11" s="2704"/>
      <c r="BR11" s="2704"/>
      <c r="BS11" s="2721"/>
      <c r="BT11" s="2623" t="s">
        <v>1275</v>
      </c>
      <c r="BU11" s="2624"/>
      <c r="BV11" s="2624"/>
      <c r="BW11" s="2624"/>
      <c r="BX11" s="2624"/>
      <c r="BY11" s="2624"/>
      <c r="BZ11" s="2624"/>
      <c r="CA11" s="2624"/>
      <c r="CB11" s="2624"/>
      <c r="CC11" s="2624"/>
      <c r="CD11" s="2624"/>
      <c r="CE11" s="2624"/>
      <c r="CF11" s="2624"/>
      <c r="CG11" s="2624"/>
      <c r="CH11" s="2624"/>
      <c r="CI11" s="2624"/>
      <c r="CJ11" s="2624"/>
      <c r="CK11" s="2703"/>
      <c r="CL11" s="2705"/>
      <c r="CM11" s="2704"/>
      <c r="CN11" s="2704"/>
      <c r="CO11" s="2704"/>
      <c r="CP11" s="2704"/>
      <c r="CQ11" s="2704"/>
      <c r="CR11" s="2704"/>
      <c r="CS11" s="2704"/>
      <c r="CT11" s="2704"/>
      <c r="CU11" s="2704"/>
      <c r="CV11" s="2704"/>
      <c r="CW11" s="2704"/>
      <c r="CX11" s="2721"/>
      <c r="CY11" s="2623" t="s">
        <v>1275</v>
      </c>
      <c r="CZ11" s="2624"/>
      <c r="DA11" s="2624"/>
      <c r="DB11" s="2624"/>
      <c r="DC11" s="2624"/>
      <c r="DD11" s="2624"/>
      <c r="DE11" s="2624"/>
      <c r="DF11" s="2624"/>
      <c r="DG11" s="2624"/>
      <c r="DH11" s="2624"/>
      <c r="DI11" s="2624"/>
      <c r="DJ11" s="2703"/>
      <c r="DK11" s="2705"/>
      <c r="DL11" s="2704"/>
      <c r="DM11" s="2704"/>
      <c r="DN11" s="2704"/>
      <c r="DO11" s="2704"/>
      <c r="DP11" s="2704"/>
      <c r="DQ11" s="2704"/>
      <c r="DR11" s="2704"/>
      <c r="DS11" s="2704"/>
      <c r="DT11" s="2704"/>
      <c r="DU11" s="2704"/>
      <c r="DV11" s="2704"/>
      <c r="DW11" s="2704"/>
      <c r="DX11" s="2704"/>
      <c r="DY11" s="2704"/>
      <c r="DZ11" s="2704"/>
      <c r="EA11" s="2704"/>
      <c r="EB11" s="2704"/>
      <c r="EC11" s="2704"/>
      <c r="ED11" s="2704"/>
      <c r="EE11" s="2704"/>
      <c r="EF11" s="2704"/>
      <c r="EG11" s="2704"/>
      <c r="EH11" s="2704"/>
      <c r="EI11" s="2704"/>
      <c r="EJ11" s="2704"/>
      <c r="EK11" s="2704"/>
      <c r="EL11" s="2704"/>
      <c r="EM11" s="2704"/>
      <c r="EN11" s="2704"/>
      <c r="EO11" s="2704"/>
      <c r="EP11" s="2704"/>
      <c r="EQ11" s="2704"/>
      <c r="ER11" s="2704"/>
      <c r="ES11" s="2704"/>
      <c r="ET11" s="2704"/>
      <c r="EU11" s="2704"/>
      <c r="EV11" s="2704"/>
      <c r="EW11" s="2704"/>
      <c r="EX11" s="2704"/>
      <c r="EY11" s="2704"/>
      <c r="EZ11" s="2704"/>
      <c r="FA11" s="2704"/>
      <c r="FB11" s="2704"/>
      <c r="FC11" s="2704"/>
      <c r="FD11" s="2704"/>
      <c r="FE11" s="2704"/>
      <c r="FF11" s="2704"/>
      <c r="FG11" s="2704"/>
      <c r="FH11" s="2704"/>
      <c r="FI11" s="2704"/>
      <c r="FJ11" s="2704"/>
      <c r="FK11" s="2704"/>
      <c r="FL11" s="2704"/>
      <c r="FM11" s="2704"/>
      <c r="FN11" s="2704"/>
      <c r="FO11" s="2704"/>
      <c r="FP11" s="2704"/>
      <c r="FQ11" s="2704"/>
      <c r="FR11" s="2704"/>
      <c r="FS11" s="2704"/>
      <c r="FT11" s="2704"/>
      <c r="FU11" s="2704"/>
      <c r="FV11" s="2704"/>
      <c r="FW11" s="2716"/>
      <c r="FX11" s="695"/>
      <c r="GC11" s="854">
        <v>12</v>
      </c>
    </row>
    <row r="12" spans="2:185" ht="12.75" customHeight="1">
      <c r="D12" s="866"/>
      <c r="E12" s="865"/>
      <c r="F12" s="2462"/>
      <c r="G12" s="2462"/>
      <c r="H12" s="2462"/>
      <c r="I12" s="2462"/>
      <c r="J12" s="2706"/>
      <c r="K12" s="2706"/>
      <c r="L12" s="2706"/>
      <c r="M12" s="2706"/>
      <c r="N12" s="2706"/>
      <c r="O12" s="2466" t="s">
        <v>1276</v>
      </c>
      <c r="P12" s="2466"/>
      <c r="Q12" s="2466"/>
      <c r="R12" s="2466"/>
      <c r="S12" s="2466" t="s">
        <v>1277</v>
      </c>
      <c r="T12" s="2466"/>
      <c r="U12" s="2466"/>
      <c r="V12" s="2466"/>
      <c r="W12" s="2466"/>
      <c r="X12" s="2466"/>
      <c r="Y12" s="2466"/>
      <c r="Z12" s="2466"/>
      <c r="AA12" s="2466"/>
      <c r="AB12" s="2466"/>
      <c r="AC12" s="2704"/>
      <c r="AD12" s="2704"/>
      <c r="AE12" s="2704"/>
      <c r="AF12" s="2704"/>
      <c r="AG12" s="2704"/>
      <c r="AH12" s="2704"/>
      <c r="AI12" s="2704"/>
      <c r="AJ12" s="2704"/>
      <c r="AK12" s="2704"/>
      <c r="AL12" s="2704"/>
      <c r="AM12" s="2704"/>
      <c r="AN12" s="2704"/>
      <c r="AO12" s="2704"/>
      <c r="AP12" s="2704"/>
      <c r="AQ12" s="2704"/>
      <c r="AR12" s="2704"/>
      <c r="AS12" s="2704"/>
      <c r="AT12" s="2704"/>
      <c r="AU12" s="2704"/>
      <c r="AV12" s="2704"/>
      <c r="AW12" s="2704"/>
      <c r="AX12" s="2704"/>
      <c r="AY12" s="2704"/>
      <c r="AZ12" s="2704"/>
      <c r="BA12" s="2704"/>
      <c r="BB12" s="2704"/>
      <c r="BC12" s="2704"/>
      <c r="BD12" s="2704"/>
      <c r="BE12" s="2704"/>
      <c r="BF12" s="2704"/>
      <c r="BG12" s="2704"/>
      <c r="BH12" s="2704"/>
      <c r="BI12" s="2704"/>
      <c r="BJ12" s="2704"/>
      <c r="BK12" s="2704"/>
      <c r="BL12" s="2704"/>
      <c r="BM12" s="2704"/>
      <c r="BN12" s="2704"/>
      <c r="BO12" s="2704"/>
      <c r="BP12" s="2704"/>
      <c r="BQ12" s="2704"/>
      <c r="BR12" s="2704"/>
      <c r="BS12" s="2721"/>
      <c r="BT12" s="2623" t="s">
        <v>1278</v>
      </c>
      <c r="BU12" s="2624"/>
      <c r="BV12" s="2624"/>
      <c r="BW12" s="2703"/>
      <c r="BX12" s="2623" t="s">
        <v>1279</v>
      </c>
      <c r="BY12" s="2624"/>
      <c r="BZ12" s="2624"/>
      <c r="CA12" s="2703"/>
      <c r="CB12" s="2623" t="s">
        <v>1280</v>
      </c>
      <c r="CC12" s="2703"/>
      <c r="CD12" s="2623" t="s">
        <v>1281</v>
      </c>
      <c r="CE12" s="2624"/>
      <c r="CF12" s="2624"/>
      <c r="CG12" s="2624"/>
      <c r="CH12" s="2624"/>
      <c r="CI12" s="2624"/>
      <c r="CJ12" s="2624"/>
      <c r="CK12" s="2703"/>
      <c r="CL12" s="2705"/>
      <c r="CM12" s="2704"/>
      <c r="CN12" s="2704"/>
      <c r="CO12" s="2704"/>
      <c r="CP12" s="2704"/>
      <c r="CQ12" s="2704"/>
      <c r="CR12" s="2704"/>
      <c r="CS12" s="2704"/>
      <c r="CT12" s="2704"/>
      <c r="CU12" s="2704"/>
      <c r="CV12" s="2704"/>
      <c r="CW12" s="2704"/>
      <c r="CX12" s="2721"/>
      <c r="CY12" s="2623" t="s">
        <v>1282</v>
      </c>
      <c r="CZ12" s="2624"/>
      <c r="DA12" s="2624"/>
      <c r="DB12" s="2624"/>
      <c r="DC12" s="2624"/>
      <c r="DD12" s="2703"/>
      <c r="DE12" s="2623" t="s">
        <v>1283</v>
      </c>
      <c r="DF12" s="2703"/>
      <c r="DG12" s="2623" t="s">
        <v>1281</v>
      </c>
      <c r="DH12" s="2624"/>
      <c r="DI12" s="2624"/>
      <c r="DJ12" s="2703"/>
      <c r="DK12" s="2705"/>
      <c r="DL12" s="2704"/>
      <c r="DM12" s="2704"/>
      <c r="DN12" s="2704"/>
      <c r="DO12" s="2704"/>
      <c r="DP12" s="2704"/>
      <c r="DQ12" s="2704"/>
      <c r="DR12" s="2704"/>
      <c r="DS12" s="2704"/>
      <c r="DT12" s="2704"/>
      <c r="DU12" s="2704"/>
      <c r="DV12" s="2704"/>
      <c r="DW12" s="2704"/>
      <c r="DX12" s="2704"/>
      <c r="DY12" s="2704"/>
      <c r="DZ12" s="2704"/>
      <c r="EA12" s="2704"/>
      <c r="EB12" s="2704"/>
      <c r="EC12" s="2704"/>
      <c r="ED12" s="2704"/>
      <c r="EE12" s="2704"/>
      <c r="EF12" s="2704"/>
      <c r="EG12" s="2704"/>
      <c r="EH12" s="2704"/>
      <c r="EI12" s="2704"/>
      <c r="EJ12" s="2704"/>
      <c r="EK12" s="2704"/>
      <c r="EL12" s="2704"/>
      <c r="EM12" s="2704"/>
      <c r="EN12" s="2704"/>
      <c r="EO12" s="2704"/>
      <c r="EP12" s="2704"/>
      <c r="EQ12" s="2704"/>
      <c r="ER12" s="2704"/>
      <c r="ES12" s="2704"/>
      <c r="ET12" s="2704"/>
      <c r="EU12" s="2704"/>
      <c r="EV12" s="2704"/>
      <c r="EW12" s="2704"/>
      <c r="EX12" s="2704"/>
      <c r="EY12" s="2704"/>
      <c r="EZ12" s="2704"/>
      <c r="FA12" s="2704"/>
      <c r="FB12" s="2704"/>
      <c r="FC12" s="2704"/>
      <c r="FD12" s="2704"/>
      <c r="FE12" s="2704"/>
      <c r="FF12" s="2704"/>
      <c r="FG12" s="2704"/>
      <c r="FH12" s="2704"/>
      <c r="FI12" s="2704"/>
      <c r="FJ12" s="2704"/>
      <c r="FK12" s="2704"/>
      <c r="FL12" s="2704"/>
      <c r="FM12" s="2704"/>
      <c r="FN12" s="2704"/>
      <c r="FO12" s="2704"/>
      <c r="FP12" s="2704"/>
      <c r="FQ12" s="2704"/>
      <c r="FR12" s="2704"/>
      <c r="FS12" s="2704"/>
      <c r="FT12" s="2704"/>
      <c r="FU12" s="2704"/>
      <c r="FV12" s="2704"/>
      <c r="FW12" s="2716"/>
      <c r="FX12" s="695"/>
      <c r="GC12" s="854">
        <v>12</v>
      </c>
    </row>
    <row r="13" spans="2:185" ht="37.9" customHeight="1">
      <c r="D13" s="866"/>
      <c r="E13" s="865"/>
      <c r="F13" s="2462"/>
      <c r="G13" s="2462"/>
      <c r="H13" s="2462"/>
      <c r="I13" s="2462"/>
      <c r="J13" s="2706"/>
      <c r="K13" s="2706"/>
      <c r="L13" s="2706"/>
      <c r="M13" s="2706"/>
      <c r="N13" s="2706"/>
      <c r="O13" s="2466" t="s">
        <v>1284</v>
      </c>
      <c r="P13" s="2466"/>
      <c r="Q13" s="2466"/>
      <c r="R13" s="2466"/>
      <c r="S13" s="2559" t="s">
        <v>1285</v>
      </c>
      <c r="T13" s="2625"/>
      <c r="U13" s="2371" t="s">
        <v>1286</v>
      </c>
      <c r="V13" s="2371"/>
      <c r="W13" s="2371"/>
      <c r="X13" s="2371"/>
      <c r="Y13" s="2371" t="s">
        <v>1287</v>
      </c>
      <c r="Z13" s="2371"/>
      <c r="AA13" s="2371"/>
      <c r="AB13" s="2371"/>
      <c r="AC13" s="2704"/>
      <c r="AD13" s="2704"/>
      <c r="AE13" s="2704"/>
      <c r="AF13" s="2704"/>
      <c r="AG13" s="2704"/>
      <c r="AH13" s="2704"/>
      <c r="AI13" s="2704"/>
      <c r="AJ13" s="2704"/>
      <c r="AK13" s="2704"/>
      <c r="AL13" s="2704"/>
      <c r="AM13" s="2704"/>
      <c r="AN13" s="2704"/>
      <c r="AO13" s="2704"/>
      <c r="AP13" s="2704"/>
      <c r="AQ13" s="2704"/>
      <c r="AR13" s="2704"/>
      <c r="AS13" s="2704"/>
      <c r="AT13" s="2704"/>
      <c r="AU13" s="2704"/>
      <c r="AV13" s="2704"/>
      <c r="AW13" s="2704"/>
      <c r="AX13" s="2704"/>
      <c r="AY13" s="2704"/>
      <c r="AZ13" s="2704"/>
      <c r="BA13" s="2704"/>
      <c r="BB13" s="2704"/>
      <c r="BC13" s="2704"/>
      <c r="BD13" s="2704"/>
      <c r="BE13" s="2704"/>
      <c r="BF13" s="2704"/>
      <c r="BG13" s="2704"/>
      <c r="BH13" s="2704"/>
      <c r="BI13" s="2704"/>
      <c r="BJ13" s="2704"/>
      <c r="BK13" s="2704"/>
      <c r="BL13" s="2704"/>
      <c r="BM13" s="2704"/>
      <c r="BN13" s="2704"/>
      <c r="BO13" s="2704"/>
      <c r="BP13" s="2704"/>
      <c r="BQ13" s="2704"/>
      <c r="BR13" s="2704"/>
      <c r="BS13" s="2721"/>
      <c r="BT13" s="2559" t="s">
        <v>1288</v>
      </c>
      <c r="BU13" s="2625"/>
      <c r="BV13" s="2559" t="s">
        <v>1289</v>
      </c>
      <c r="BW13" s="2625"/>
      <c r="BX13" s="2559" t="s">
        <v>1290</v>
      </c>
      <c r="BY13" s="2625"/>
      <c r="BZ13" s="2559" t="s">
        <v>1291</v>
      </c>
      <c r="CA13" s="2625"/>
      <c r="CB13" s="2559" t="s">
        <v>1292</v>
      </c>
      <c r="CC13" s="2625"/>
      <c r="CD13" s="2559" t="s">
        <v>1293</v>
      </c>
      <c r="CE13" s="2625"/>
      <c r="CF13" s="2559" t="s">
        <v>1294</v>
      </c>
      <c r="CG13" s="2625"/>
      <c r="CH13" s="2623" t="s">
        <v>1295</v>
      </c>
      <c r="CI13" s="2624"/>
      <c r="CJ13" s="2624"/>
      <c r="CK13" s="2703"/>
      <c r="CL13" s="2705"/>
      <c r="CM13" s="2704"/>
      <c r="CN13" s="2704"/>
      <c r="CO13" s="2704"/>
      <c r="CP13" s="2704"/>
      <c r="CQ13" s="2704"/>
      <c r="CR13" s="2704"/>
      <c r="CS13" s="2704"/>
      <c r="CT13" s="2704"/>
      <c r="CU13" s="2704"/>
      <c r="CV13" s="2704"/>
      <c r="CW13" s="2704"/>
      <c r="CX13" s="2721"/>
      <c r="CY13" s="2559" t="s">
        <v>1296</v>
      </c>
      <c r="CZ13" s="2625"/>
      <c r="DA13" s="2559" t="s">
        <v>1297</v>
      </c>
      <c r="DB13" s="2625"/>
      <c r="DC13" s="2559" t="s">
        <v>1298</v>
      </c>
      <c r="DD13" s="2625"/>
      <c r="DE13" s="2559" t="s">
        <v>1299</v>
      </c>
      <c r="DF13" s="2625"/>
      <c r="DG13" s="2623" t="s">
        <v>1300</v>
      </c>
      <c r="DH13" s="2624"/>
      <c r="DI13" s="2624"/>
      <c r="DJ13" s="2703"/>
      <c r="DK13" s="2705"/>
      <c r="DL13" s="2704"/>
      <c r="DM13" s="2704"/>
      <c r="DN13" s="2704"/>
      <c r="DO13" s="2704"/>
      <c r="DP13" s="2704"/>
      <c r="DQ13" s="2704"/>
      <c r="DR13" s="2704"/>
      <c r="DS13" s="2704"/>
      <c r="DT13" s="2704"/>
      <c r="DU13" s="2704"/>
      <c r="DV13" s="2704"/>
      <c r="DW13" s="2704"/>
      <c r="DX13" s="2704"/>
      <c r="DY13" s="2704"/>
      <c r="DZ13" s="2704"/>
      <c r="EA13" s="2704"/>
      <c r="EB13" s="2704"/>
      <c r="EC13" s="2704"/>
      <c r="ED13" s="2704"/>
      <c r="EE13" s="2704"/>
      <c r="EF13" s="2704"/>
      <c r="EG13" s="2704"/>
      <c r="EH13" s="2704"/>
      <c r="EI13" s="2704"/>
      <c r="EJ13" s="2704"/>
      <c r="EK13" s="2704"/>
      <c r="EL13" s="2704"/>
      <c r="EM13" s="2704"/>
      <c r="EN13" s="2704"/>
      <c r="EO13" s="2704"/>
      <c r="EP13" s="2704"/>
      <c r="EQ13" s="2704"/>
      <c r="ER13" s="2704"/>
      <c r="ES13" s="2704"/>
      <c r="ET13" s="2704"/>
      <c r="EU13" s="2704"/>
      <c r="EV13" s="2704"/>
      <c r="EW13" s="2704"/>
      <c r="EX13" s="2704"/>
      <c r="EY13" s="2704"/>
      <c r="EZ13" s="2704"/>
      <c r="FA13" s="2704"/>
      <c r="FB13" s="2704"/>
      <c r="FC13" s="2704"/>
      <c r="FD13" s="2704"/>
      <c r="FE13" s="2704"/>
      <c r="FF13" s="2704"/>
      <c r="FG13" s="2704"/>
      <c r="FH13" s="2704"/>
      <c r="FI13" s="2704"/>
      <c r="FJ13" s="2704"/>
      <c r="FK13" s="2704"/>
      <c r="FL13" s="2704"/>
      <c r="FM13" s="2704"/>
      <c r="FN13" s="2704"/>
      <c r="FO13" s="2704"/>
      <c r="FP13" s="2704"/>
      <c r="FQ13" s="2704"/>
      <c r="FR13" s="2704"/>
      <c r="FS13" s="2704"/>
      <c r="FT13" s="2704"/>
      <c r="FU13" s="2704"/>
      <c r="FV13" s="2704"/>
      <c r="FW13" s="2716"/>
      <c r="FX13" s="695"/>
      <c r="GC13" s="854">
        <v>36</v>
      </c>
    </row>
    <row r="14" spans="2:185" ht="37.9" customHeight="1">
      <c r="D14" s="866"/>
      <c r="E14" s="865"/>
      <c r="F14" s="2462"/>
      <c r="G14" s="2462"/>
      <c r="H14" s="2462"/>
      <c r="I14" s="2462"/>
      <c r="J14" s="2706"/>
      <c r="K14" s="2706"/>
      <c r="L14" s="2706"/>
      <c r="M14" s="2706"/>
      <c r="N14" s="2706"/>
      <c r="O14" s="2559" t="s">
        <v>1301</v>
      </c>
      <c r="P14" s="2625"/>
      <c r="Q14" s="2559" t="s">
        <v>1302</v>
      </c>
      <c r="R14" s="2625"/>
      <c r="S14" s="2560"/>
      <c r="T14" s="2470"/>
      <c r="U14" s="2559" t="s">
        <v>1000</v>
      </c>
      <c r="V14" s="2625"/>
      <c r="W14" s="2559" t="s">
        <v>1003</v>
      </c>
      <c r="X14" s="2625"/>
      <c r="Y14" s="2559" t="s">
        <v>1000</v>
      </c>
      <c r="Z14" s="2625"/>
      <c r="AA14" s="2559" t="s">
        <v>1010</v>
      </c>
      <c r="AB14" s="2625"/>
      <c r="AC14" s="2704"/>
      <c r="AD14" s="2704"/>
      <c r="AE14" s="2704"/>
      <c r="AF14" s="2704"/>
      <c r="AG14" s="2704"/>
      <c r="AH14" s="2704"/>
      <c r="AI14" s="2704"/>
      <c r="AJ14" s="2704"/>
      <c r="AK14" s="2704"/>
      <c r="AL14" s="2704"/>
      <c r="AM14" s="2704"/>
      <c r="AN14" s="2704"/>
      <c r="AO14" s="2704"/>
      <c r="AP14" s="2704"/>
      <c r="AQ14" s="2704"/>
      <c r="AR14" s="2704"/>
      <c r="AS14" s="2704"/>
      <c r="AT14" s="2704"/>
      <c r="AU14" s="2704"/>
      <c r="AV14" s="2704"/>
      <c r="AW14" s="2704"/>
      <c r="AX14" s="2704"/>
      <c r="AY14" s="2704"/>
      <c r="AZ14" s="2704"/>
      <c r="BA14" s="2704"/>
      <c r="BB14" s="2704"/>
      <c r="BC14" s="2704"/>
      <c r="BD14" s="2704"/>
      <c r="BE14" s="2704"/>
      <c r="BF14" s="2704"/>
      <c r="BG14" s="2704"/>
      <c r="BH14" s="2704"/>
      <c r="BI14" s="2704"/>
      <c r="BJ14" s="2704"/>
      <c r="BK14" s="2704"/>
      <c r="BL14" s="2704"/>
      <c r="BM14" s="2704"/>
      <c r="BN14" s="2704"/>
      <c r="BO14" s="2704"/>
      <c r="BP14" s="2704"/>
      <c r="BQ14" s="2704"/>
      <c r="BR14" s="2704"/>
      <c r="BS14" s="2721"/>
      <c r="BT14" s="2560"/>
      <c r="BU14" s="2470"/>
      <c r="BV14" s="2560"/>
      <c r="BW14" s="2470"/>
      <c r="BX14" s="2560"/>
      <c r="BY14" s="2470"/>
      <c r="BZ14" s="2560"/>
      <c r="CA14" s="2470"/>
      <c r="CB14" s="2560"/>
      <c r="CC14" s="2470"/>
      <c r="CD14" s="2560"/>
      <c r="CE14" s="2470"/>
      <c r="CF14" s="2560"/>
      <c r="CG14" s="2470"/>
      <c r="CH14" s="2559" t="s">
        <v>1303</v>
      </c>
      <c r="CI14" s="2625"/>
      <c r="CJ14" s="2559" t="s">
        <v>1304</v>
      </c>
      <c r="CK14" s="2625"/>
      <c r="CL14" s="2705"/>
      <c r="CM14" s="2704"/>
      <c r="CN14" s="2704"/>
      <c r="CO14" s="2704"/>
      <c r="CP14" s="2704"/>
      <c r="CQ14" s="2704"/>
      <c r="CR14" s="2704"/>
      <c r="CS14" s="2704"/>
      <c r="CT14" s="2704"/>
      <c r="CU14" s="2704"/>
      <c r="CV14" s="2704"/>
      <c r="CW14" s="2704"/>
      <c r="CX14" s="2721"/>
      <c r="CY14" s="2560"/>
      <c r="CZ14" s="2470"/>
      <c r="DA14" s="2560"/>
      <c r="DB14" s="2470"/>
      <c r="DC14" s="2560"/>
      <c r="DD14" s="2470"/>
      <c r="DE14" s="2560"/>
      <c r="DF14" s="2470"/>
      <c r="DG14" s="2559" t="s">
        <v>1305</v>
      </c>
      <c r="DH14" s="2625"/>
      <c r="DI14" s="2559" t="s">
        <v>1306</v>
      </c>
      <c r="DJ14" s="2625"/>
      <c r="DK14" s="2705"/>
      <c r="DL14" s="2704"/>
      <c r="DM14" s="2704"/>
      <c r="DN14" s="2704"/>
      <c r="DO14" s="2704"/>
      <c r="DP14" s="2704"/>
      <c r="DQ14" s="2704"/>
      <c r="DR14" s="2704"/>
      <c r="DS14" s="2704"/>
      <c r="DT14" s="2704"/>
      <c r="DU14" s="2704"/>
      <c r="DV14" s="2704"/>
      <c r="DW14" s="2704"/>
      <c r="DX14" s="2704"/>
      <c r="DY14" s="2704"/>
      <c r="DZ14" s="2704"/>
      <c r="EA14" s="2704"/>
      <c r="EB14" s="2704"/>
      <c r="EC14" s="2704"/>
      <c r="ED14" s="2704"/>
      <c r="EE14" s="2704"/>
      <c r="EF14" s="2704"/>
      <c r="EG14" s="2704"/>
      <c r="EH14" s="2704"/>
      <c r="EI14" s="2704"/>
      <c r="EJ14" s="2704"/>
      <c r="EK14" s="2704"/>
      <c r="EL14" s="2704"/>
      <c r="EM14" s="2704"/>
      <c r="EN14" s="2704"/>
      <c r="EO14" s="2704"/>
      <c r="EP14" s="2704"/>
      <c r="EQ14" s="2704"/>
      <c r="ER14" s="2704"/>
      <c r="ES14" s="2704"/>
      <c r="ET14" s="2704"/>
      <c r="EU14" s="2704"/>
      <c r="EV14" s="2704"/>
      <c r="EW14" s="2704"/>
      <c r="EX14" s="2704"/>
      <c r="EY14" s="2704"/>
      <c r="EZ14" s="2704"/>
      <c r="FA14" s="2704"/>
      <c r="FB14" s="2704"/>
      <c r="FC14" s="2704"/>
      <c r="FD14" s="2704"/>
      <c r="FE14" s="2704"/>
      <c r="FF14" s="2704"/>
      <c r="FG14" s="2704"/>
      <c r="FH14" s="2704"/>
      <c r="FI14" s="2704"/>
      <c r="FJ14" s="2704"/>
      <c r="FK14" s="2704"/>
      <c r="FL14" s="2704"/>
      <c r="FM14" s="2704"/>
      <c r="FN14" s="2704"/>
      <c r="FO14" s="2704"/>
      <c r="FP14" s="2704"/>
      <c r="FQ14" s="2704"/>
      <c r="FR14" s="2704"/>
      <c r="FS14" s="2704"/>
      <c r="FT14" s="2704"/>
      <c r="FU14" s="2704"/>
      <c r="FV14" s="2704"/>
      <c r="FW14" s="2716"/>
      <c r="FX14" s="695"/>
      <c r="GC14" s="854">
        <v>36</v>
      </c>
    </row>
    <row r="15" spans="2:185" ht="37.9" customHeight="1">
      <c r="D15" s="866"/>
      <c r="E15" s="865"/>
      <c r="F15" s="2462"/>
      <c r="G15" s="2462"/>
      <c r="H15" s="2462"/>
      <c r="I15" s="2462"/>
      <c r="J15" s="2706"/>
      <c r="K15" s="2706"/>
      <c r="L15" s="2706"/>
      <c r="M15" s="2706"/>
      <c r="N15" s="2706"/>
      <c r="O15" s="2561"/>
      <c r="P15" s="2691"/>
      <c r="Q15" s="2561"/>
      <c r="R15" s="2691"/>
      <c r="S15" s="2561"/>
      <c r="T15" s="2691"/>
      <c r="U15" s="2561"/>
      <c r="V15" s="2691"/>
      <c r="W15" s="2561"/>
      <c r="X15" s="2691"/>
      <c r="Y15" s="2561"/>
      <c r="Z15" s="2691"/>
      <c r="AA15" s="2561"/>
      <c r="AB15" s="2691"/>
      <c r="AC15" s="2704"/>
      <c r="AD15" s="2704"/>
      <c r="AE15" s="2704"/>
      <c r="AF15" s="2704"/>
      <c r="AG15" s="2704"/>
      <c r="AH15" s="2704"/>
      <c r="AI15" s="2704"/>
      <c r="AJ15" s="2704"/>
      <c r="AK15" s="2704"/>
      <c r="AL15" s="2704"/>
      <c r="AM15" s="2704"/>
      <c r="AN15" s="2704"/>
      <c r="AO15" s="2704"/>
      <c r="AP15" s="2704"/>
      <c r="AQ15" s="2704"/>
      <c r="AR15" s="2704"/>
      <c r="AS15" s="2704"/>
      <c r="AT15" s="2704"/>
      <c r="AU15" s="2704"/>
      <c r="AV15" s="2704"/>
      <c r="AW15" s="2704"/>
      <c r="AX15" s="2704"/>
      <c r="AY15" s="2704"/>
      <c r="AZ15" s="2704"/>
      <c r="BA15" s="2704"/>
      <c r="BB15" s="2704"/>
      <c r="BC15" s="2704"/>
      <c r="BD15" s="2704"/>
      <c r="BE15" s="2704"/>
      <c r="BF15" s="2704"/>
      <c r="BG15" s="2704"/>
      <c r="BH15" s="2704"/>
      <c r="BI15" s="2704"/>
      <c r="BJ15" s="2704"/>
      <c r="BK15" s="2704"/>
      <c r="BL15" s="2704"/>
      <c r="BM15" s="2704"/>
      <c r="BN15" s="2704"/>
      <c r="BO15" s="2704"/>
      <c r="BP15" s="2704"/>
      <c r="BQ15" s="2704"/>
      <c r="BR15" s="2704"/>
      <c r="BS15" s="2721"/>
      <c r="BT15" s="2561"/>
      <c r="BU15" s="2691"/>
      <c r="BV15" s="2561"/>
      <c r="BW15" s="2691"/>
      <c r="BX15" s="2561"/>
      <c r="BY15" s="2691"/>
      <c r="BZ15" s="2561"/>
      <c r="CA15" s="2691"/>
      <c r="CB15" s="2561"/>
      <c r="CC15" s="2691"/>
      <c r="CD15" s="2561"/>
      <c r="CE15" s="2691"/>
      <c r="CF15" s="2561"/>
      <c r="CG15" s="2691"/>
      <c r="CH15" s="2561"/>
      <c r="CI15" s="2691"/>
      <c r="CJ15" s="2561"/>
      <c r="CK15" s="2691"/>
      <c r="CL15" s="2705"/>
      <c r="CM15" s="2704"/>
      <c r="CN15" s="2704"/>
      <c r="CO15" s="2704"/>
      <c r="CP15" s="2704"/>
      <c r="CQ15" s="2704"/>
      <c r="CR15" s="2704"/>
      <c r="CS15" s="2704"/>
      <c r="CT15" s="2704"/>
      <c r="CU15" s="2704"/>
      <c r="CV15" s="2704"/>
      <c r="CW15" s="2704"/>
      <c r="CX15" s="2721"/>
      <c r="CY15" s="2561"/>
      <c r="CZ15" s="2691"/>
      <c r="DA15" s="2561"/>
      <c r="DB15" s="2691"/>
      <c r="DC15" s="2561"/>
      <c r="DD15" s="2691"/>
      <c r="DE15" s="2561"/>
      <c r="DF15" s="2691"/>
      <c r="DG15" s="2561"/>
      <c r="DH15" s="2691"/>
      <c r="DI15" s="2561"/>
      <c r="DJ15" s="2691"/>
      <c r="DK15" s="2705"/>
      <c r="DL15" s="2704"/>
      <c r="DM15" s="2704"/>
      <c r="DN15" s="2704"/>
      <c r="DO15" s="2704"/>
      <c r="DP15" s="2704"/>
      <c r="DQ15" s="2704"/>
      <c r="DR15" s="2704"/>
      <c r="DS15" s="2704"/>
      <c r="DT15" s="2704"/>
      <c r="DU15" s="2704"/>
      <c r="DV15" s="2704"/>
      <c r="DW15" s="2704"/>
      <c r="DX15" s="2704"/>
      <c r="DY15" s="2704"/>
      <c r="DZ15" s="2704"/>
      <c r="EA15" s="2704"/>
      <c r="EB15" s="2704"/>
      <c r="EC15" s="2704"/>
      <c r="ED15" s="2704"/>
      <c r="EE15" s="2704"/>
      <c r="EF15" s="2704"/>
      <c r="EG15" s="2704"/>
      <c r="EH15" s="2704"/>
      <c r="EI15" s="2704"/>
      <c r="EJ15" s="2704"/>
      <c r="EK15" s="2704"/>
      <c r="EL15" s="2704"/>
      <c r="EM15" s="2704"/>
      <c r="EN15" s="2704"/>
      <c r="EO15" s="2704"/>
      <c r="EP15" s="2704"/>
      <c r="EQ15" s="2704"/>
      <c r="ER15" s="2704"/>
      <c r="ES15" s="2704"/>
      <c r="ET15" s="2704"/>
      <c r="EU15" s="2704"/>
      <c r="EV15" s="2704"/>
      <c r="EW15" s="2704"/>
      <c r="EX15" s="2704"/>
      <c r="EY15" s="2704"/>
      <c r="EZ15" s="2704"/>
      <c r="FA15" s="2704"/>
      <c r="FB15" s="2704"/>
      <c r="FC15" s="2704"/>
      <c r="FD15" s="2704"/>
      <c r="FE15" s="2704"/>
      <c r="FF15" s="2704"/>
      <c r="FG15" s="2704"/>
      <c r="FH15" s="2704"/>
      <c r="FI15" s="2704"/>
      <c r="FJ15" s="2704"/>
      <c r="FK15" s="2704"/>
      <c r="FL15" s="2704"/>
      <c r="FM15" s="2704"/>
      <c r="FN15" s="2704"/>
      <c r="FO15" s="2704"/>
      <c r="FP15" s="2704"/>
      <c r="FQ15" s="2704"/>
      <c r="FR15" s="2704"/>
      <c r="FS15" s="2704"/>
      <c r="FT15" s="2704"/>
      <c r="FU15" s="2704"/>
      <c r="FV15" s="2704"/>
      <c r="FW15" s="2716"/>
      <c r="FX15" s="695"/>
      <c r="GC15" s="854">
        <v>36</v>
      </c>
    </row>
    <row r="16" spans="2:185" ht="12.75" customHeight="1">
      <c r="D16" s="866"/>
      <c r="E16" s="865"/>
      <c r="F16" s="2462"/>
      <c r="G16" s="2462"/>
      <c r="H16" s="2462"/>
      <c r="I16" s="2462"/>
      <c r="J16" s="2706"/>
      <c r="K16" s="2706"/>
      <c r="L16" s="2706"/>
      <c r="M16" s="2706"/>
      <c r="N16" s="2706"/>
      <c r="O16" s="2623" t="s">
        <v>990</v>
      </c>
      <c r="P16" s="2703"/>
      <c r="Q16" s="2623" t="s">
        <v>992</v>
      </c>
      <c r="R16" s="2703"/>
      <c r="S16" s="2623" t="s">
        <v>996</v>
      </c>
      <c r="T16" s="2703"/>
      <c r="U16" s="2623" t="s">
        <v>1001</v>
      </c>
      <c r="V16" s="2703"/>
      <c r="W16" s="2623" t="s">
        <v>1004</v>
      </c>
      <c r="X16" s="2703"/>
      <c r="Y16" s="2623" t="s">
        <v>1008</v>
      </c>
      <c r="Z16" s="2703"/>
      <c r="AA16" s="2623" t="s">
        <v>1011</v>
      </c>
      <c r="AB16" s="2703"/>
      <c r="AC16" s="2704"/>
      <c r="AD16" s="2704"/>
      <c r="AE16" s="2704"/>
      <c r="AF16" s="2704"/>
      <c r="AG16" s="2704"/>
      <c r="AH16" s="2704"/>
      <c r="AI16" s="2704"/>
      <c r="AJ16" s="2704"/>
      <c r="AK16" s="2704"/>
      <c r="AL16" s="2704"/>
      <c r="AM16" s="2704"/>
      <c r="AN16" s="2704"/>
      <c r="AO16" s="2704"/>
      <c r="AP16" s="2704"/>
      <c r="AQ16" s="2704"/>
      <c r="AR16" s="2704"/>
      <c r="AS16" s="2704"/>
      <c r="AT16" s="2704"/>
      <c r="AU16" s="2704"/>
      <c r="AV16" s="2704"/>
      <c r="AW16" s="2704"/>
      <c r="AX16" s="2704"/>
      <c r="AY16" s="2704"/>
      <c r="AZ16" s="2704"/>
      <c r="BA16" s="2704"/>
      <c r="BB16" s="2704"/>
      <c r="BC16" s="2704"/>
      <c r="BD16" s="2704"/>
      <c r="BE16" s="2704"/>
      <c r="BF16" s="2704"/>
      <c r="BG16" s="2704"/>
      <c r="BH16" s="2704"/>
      <c r="BI16" s="2704"/>
      <c r="BJ16" s="2704"/>
      <c r="BK16" s="2704"/>
      <c r="BL16" s="2704"/>
      <c r="BM16" s="2704"/>
      <c r="BN16" s="2704"/>
      <c r="BO16" s="2704"/>
      <c r="BP16" s="2704"/>
      <c r="BQ16" s="2704"/>
      <c r="BR16" s="2704"/>
      <c r="BS16" s="2721"/>
      <c r="BT16" s="2623" t="s">
        <v>575</v>
      </c>
      <c r="BU16" s="2703"/>
      <c r="BV16" s="2623" t="s">
        <v>575</v>
      </c>
      <c r="BW16" s="2703"/>
      <c r="BX16" s="2623" t="s">
        <v>575</v>
      </c>
      <c r="BY16" s="2703"/>
      <c r="BZ16" s="2623" t="s">
        <v>575</v>
      </c>
      <c r="CA16" s="2703"/>
      <c r="CB16" s="2623" t="s">
        <v>1307</v>
      </c>
      <c r="CC16" s="2703"/>
      <c r="CD16" s="2623" t="s">
        <v>575</v>
      </c>
      <c r="CE16" s="2703"/>
      <c r="CF16" s="2623" t="s">
        <v>1308</v>
      </c>
      <c r="CG16" s="2703"/>
      <c r="CH16" s="2623" t="s">
        <v>1309</v>
      </c>
      <c r="CI16" s="2703"/>
      <c r="CJ16" s="2623" t="s">
        <v>1309</v>
      </c>
      <c r="CK16" s="2703"/>
      <c r="CL16" s="2705"/>
      <c r="CM16" s="2704"/>
      <c r="CN16" s="2704"/>
      <c r="CO16" s="2704"/>
      <c r="CP16" s="2704"/>
      <c r="CQ16" s="2704"/>
      <c r="CR16" s="2704"/>
      <c r="CS16" s="2704"/>
      <c r="CT16" s="2704"/>
      <c r="CU16" s="2704"/>
      <c r="CV16" s="2704"/>
      <c r="CW16" s="2704"/>
      <c r="CX16" s="2721"/>
      <c r="CY16" s="2559" t="s">
        <v>575</v>
      </c>
      <c r="CZ16" s="2625"/>
      <c r="DA16" s="2559" t="s">
        <v>575</v>
      </c>
      <c r="DB16" s="2625"/>
      <c r="DC16" s="2559" t="s">
        <v>575</v>
      </c>
      <c r="DD16" s="2625"/>
      <c r="DE16" s="2623" t="s">
        <v>1307</v>
      </c>
      <c r="DF16" s="2703"/>
      <c r="DG16" s="2623" t="s">
        <v>1310</v>
      </c>
      <c r="DH16" s="2703"/>
      <c r="DI16" s="2623" t="s">
        <v>1310</v>
      </c>
      <c r="DJ16" s="2703"/>
      <c r="DK16" s="2705"/>
      <c r="DL16" s="2704"/>
      <c r="DM16" s="2704"/>
      <c r="DN16" s="2704"/>
      <c r="DO16" s="2704"/>
      <c r="DP16" s="2704"/>
      <c r="DQ16" s="2704"/>
      <c r="DR16" s="2704"/>
      <c r="DS16" s="2704"/>
      <c r="DT16" s="2704"/>
      <c r="DU16" s="2704"/>
      <c r="DV16" s="2704"/>
      <c r="DW16" s="2704"/>
      <c r="DX16" s="2704"/>
      <c r="DY16" s="2704"/>
      <c r="DZ16" s="2704"/>
      <c r="EA16" s="2704"/>
      <c r="EB16" s="2704"/>
      <c r="EC16" s="2704"/>
      <c r="ED16" s="2704"/>
      <c r="EE16" s="2704"/>
      <c r="EF16" s="2704"/>
      <c r="EG16" s="2704"/>
      <c r="EH16" s="2704"/>
      <c r="EI16" s="2704"/>
      <c r="EJ16" s="2704"/>
      <c r="EK16" s="2704"/>
      <c r="EL16" s="2704"/>
      <c r="EM16" s="2704"/>
      <c r="EN16" s="2704"/>
      <c r="EO16" s="2704"/>
      <c r="EP16" s="2704"/>
      <c r="EQ16" s="2704"/>
      <c r="ER16" s="2704"/>
      <c r="ES16" s="2704"/>
      <c r="ET16" s="2704"/>
      <c r="EU16" s="2704"/>
      <c r="EV16" s="2704"/>
      <c r="EW16" s="2704"/>
      <c r="EX16" s="2704"/>
      <c r="EY16" s="2704"/>
      <c r="EZ16" s="2704"/>
      <c r="FA16" s="2704"/>
      <c r="FB16" s="2704"/>
      <c r="FC16" s="2704"/>
      <c r="FD16" s="2704"/>
      <c r="FE16" s="2704"/>
      <c r="FF16" s="2704"/>
      <c r="FG16" s="2704"/>
      <c r="FH16" s="2704"/>
      <c r="FI16" s="2704"/>
      <c r="FJ16" s="2704"/>
      <c r="FK16" s="2704"/>
      <c r="FL16" s="2704"/>
      <c r="FM16" s="2704"/>
      <c r="FN16" s="2704"/>
      <c r="FO16" s="2704"/>
      <c r="FP16" s="2704"/>
      <c r="FQ16" s="2704"/>
      <c r="FR16" s="2704"/>
      <c r="FS16" s="2704"/>
      <c r="FT16" s="2704"/>
      <c r="FU16" s="2704"/>
      <c r="FV16" s="2704"/>
      <c r="FW16" s="2716"/>
      <c r="FX16" s="695"/>
      <c r="GC16" s="854">
        <v>12</v>
      </c>
    </row>
    <row r="17" spans="1:185" ht="15.75" customHeight="1">
      <c r="E17" s="865"/>
      <c r="F17" s="2462"/>
      <c r="G17" s="2462"/>
      <c r="H17" s="2462"/>
      <c r="I17" s="2462"/>
      <c r="J17" s="2706"/>
      <c r="K17" s="2706"/>
      <c r="L17" s="2706"/>
      <c r="M17" s="2706"/>
      <c r="N17" s="2706"/>
      <c r="O17" s="1114" t="s">
        <v>1311</v>
      </c>
      <c r="P17" s="1114" t="s">
        <v>1312</v>
      </c>
      <c r="Q17" s="1114" t="s">
        <v>1311</v>
      </c>
      <c r="R17" s="1114" t="s">
        <v>1312</v>
      </c>
      <c r="S17" s="1114" t="s">
        <v>1311</v>
      </c>
      <c r="T17" s="1114" t="s">
        <v>1312</v>
      </c>
      <c r="U17" s="1114" t="s">
        <v>1311</v>
      </c>
      <c r="V17" s="1114" t="s">
        <v>1312</v>
      </c>
      <c r="W17" s="1114" t="s">
        <v>1311</v>
      </c>
      <c r="X17" s="1114" t="s">
        <v>1312</v>
      </c>
      <c r="Y17" s="1114" t="s">
        <v>1311</v>
      </c>
      <c r="Z17" s="1114" t="s">
        <v>1312</v>
      </c>
      <c r="AA17" s="1114" t="s">
        <v>1311</v>
      </c>
      <c r="AB17" s="1114" t="s">
        <v>1312</v>
      </c>
      <c r="AC17" s="2704"/>
      <c r="AD17" s="2704"/>
      <c r="AE17" s="2704"/>
      <c r="AF17" s="2704"/>
      <c r="AG17" s="2704"/>
      <c r="AH17" s="2704"/>
      <c r="AI17" s="2704"/>
      <c r="AJ17" s="2704"/>
      <c r="AK17" s="2704"/>
      <c r="AL17" s="2704"/>
      <c r="AM17" s="2704"/>
      <c r="AN17" s="2704"/>
      <c r="AO17" s="2704"/>
      <c r="AP17" s="2704"/>
      <c r="AQ17" s="2704"/>
      <c r="AR17" s="2704"/>
      <c r="AS17" s="2704"/>
      <c r="AT17" s="2704"/>
      <c r="AU17" s="2704"/>
      <c r="AV17" s="2704"/>
      <c r="AW17" s="2704"/>
      <c r="AX17" s="2704"/>
      <c r="AY17" s="2704"/>
      <c r="AZ17" s="2704"/>
      <c r="BA17" s="2704"/>
      <c r="BB17" s="2704"/>
      <c r="BC17" s="2704"/>
      <c r="BD17" s="2704"/>
      <c r="BE17" s="2704"/>
      <c r="BF17" s="2704"/>
      <c r="BG17" s="2704"/>
      <c r="BH17" s="2704"/>
      <c r="BI17" s="2704"/>
      <c r="BJ17" s="2704"/>
      <c r="BK17" s="2704"/>
      <c r="BL17" s="2704"/>
      <c r="BM17" s="2704"/>
      <c r="BN17" s="2704"/>
      <c r="BO17" s="2704"/>
      <c r="BP17" s="2704"/>
      <c r="BQ17" s="2704"/>
      <c r="BR17" s="2704"/>
      <c r="BS17" s="2721"/>
      <c r="BT17" s="1114" t="s">
        <v>1311</v>
      </c>
      <c r="BU17" s="1114" t="s">
        <v>1312</v>
      </c>
      <c r="BV17" s="1114" t="s">
        <v>1311</v>
      </c>
      <c r="BW17" s="1114" t="s">
        <v>1312</v>
      </c>
      <c r="BX17" s="1114" t="s">
        <v>1311</v>
      </c>
      <c r="BY17" s="1114" t="s">
        <v>1312</v>
      </c>
      <c r="BZ17" s="1114" t="s">
        <v>1311</v>
      </c>
      <c r="CA17" s="1114" t="s">
        <v>1312</v>
      </c>
      <c r="CB17" s="1114" t="s">
        <v>1311</v>
      </c>
      <c r="CC17" s="1114" t="s">
        <v>1312</v>
      </c>
      <c r="CD17" s="1114" t="s">
        <v>1311</v>
      </c>
      <c r="CE17" s="1114" t="s">
        <v>1312</v>
      </c>
      <c r="CF17" s="1114" t="s">
        <v>1311</v>
      </c>
      <c r="CG17" s="1114" t="s">
        <v>1312</v>
      </c>
      <c r="CH17" s="1114" t="s">
        <v>1311</v>
      </c>
      <c r="CI17" s="1114" t="s">
        <v>1312</v>
      </c>
      <c r="CJ17" s="1114" t="s">
        <v>1311</v>
      </c>
      <c r="CK17" s="1114" t="s">
        <v>1312</v>
      </c>
      <c r="CL17" s="2705"/>
      <c r="CM17" s="2704"/>
      <c r="CN17" s="2704"/>
      <c r="CO17" s="2704"/>
      <c r="CP17" s="2704"/>
      <c r="CQ17" s="2704"/>
      <c r="CR17" s="2704"/>
      <c r="CS17" s="2704"/>
      <c r="CT17" s="2704"/>
      <c r="CU17" s="2704"/>
      <c r="CV17" s="2704"/>
      <c r="CW17" s="2704"/>
      <c r="CX17" s="2721"/>
      <c r="CY17" s="1114" t="s">
        <v>1311</v>
      </c>
      <c r="CZ17" s="1114" t="s">
        <v>1312</v>
      </c>
      <c r="DA17" s="1114" t="s">
        <v>1311</v>
      </c>
      <c r="DB17" s="1114" t="s">
        <v>1312</v>
      </c>
      <c r="DC17" s="1114" t="s">
        <v>1311</v>
      </c>
      <c r="DD17" s="1114" t="s">
        <v>1312</v>
      </c>
      <c r="DE17" s="1114" t="s">
        <v>1311</v>
      </c>
      <c r="DF17" s="1114" t="s">
        <v>1312</v>
      </c>
      <c r="DG17" s="1114" t="s">
        <v>1311</v>
      </c>
      <c r="DH17" s="1114" t="s">
        <v>1312</v>
      </c>
      <c r="DI17" s="1114" t="s">
        <v>1311</v>
      </c>
      <c r="DJ17" s="1114" t="s">
        <v>1312</v>
      </c>
      <c r="DK17" s="2705"/>
      <c r="DL17" s="2704"/>
      <c r="DM17" s="2704"/>
      <c r="DN17" s="2704"/>
      <c r="DO17" s="2704"/>
      <c r="DP17" s="2704"/>
      <c r="DQ17" s="2704"/>
      <c r="DR17" s="2704"/>
      <c r="DS17" s="2704"/>
      <c r="DT17" s="2704"/>
      <c r="DU17" s="2704"/>
      <c r="DV17" s="2704"/>
      <c r="DW17" s="2704"/>
      <c r="DX17" s="2704"/>
      <c r="DY17" s="2704"/>
      <c r="DZ17" s="2704"/>
      <c r="EA17" s="2704"/>
      <c r="EB17" s="2704"/>
      <c r="EC17" s="2704"/>
      <c r="ED17" s="2704"/>
      <c r="EE17" s="2704"/>
      <c r="EF17" s="2704"/>
      <c r="EG17" s="2704"/>
      <c r="EH17" s="2704"/>
      <c r="EI17" s="2704"/>
      <c r="EJ17" s="2704"/>
      <c r="EK17" s="2704"/>
      <c r="EL17" s="2704"/>
      <c r="EM17" s="2704"/>
      <c r="EN17" s="2704"/>
      <c r="EO17" s="2704"/>
      <c r="EP17" s="2704"/>
      <c r="EQ17" s="2704"/>
      <c r="ER17" s="2704"/>
      <c r="ES17" s="2704"/>
      <c r="ET17" s="2704"/>
      <c r="EU17" s="2704"/>
      <c r="EV17" s="2704"/>
      <c r="EW17" s="2704"/>
      <c r="EX17" s="2704"/>
      <c r="EY17" s="2704"/>
      <c r="EZ17" s="2704"/>
      <c r="FA17" s="2704"/>
      <c r="FB17" s="2704"/>
      <c r="FC17" s="2704"/>
      <c r="FD17" s="2704"/>
      <c r="FE17" s="2704"/>
      <c r="FF17" s="2704"/>
      <c r="FG17" s="2704"/>
      <c r="FH17" s="2704"/>
      <c r="FI17" s="2704"/>
      <c r="FJ17" s="2704"/>
      <c r="FK17" s="2704"/>
      <c r="FL17" s="2704"/>
      <c r="FM17" s="2704"/>
      <c r="FN17" s="2704"/>
      <c r="FO17" s="2704"/>
      <c r="FP17" s="2704"/>
      <c r="FQ17" s="2704"/>
      <c r="FR17" s="2704"/>
      <c r="FS17" s="2704"/>
      <c r="FT17" s="2704"/>
      <c r="FU17" s="2704"/>
      <c r="FV17" s="2704"/>
      <c r="FW17" s="2717"/>
      <c r="FX17" s="695"/>
      <c r="GC17" s="854">
        <v>15</v>
      </c>
    </row>
    <row r="18" spans="1:185" s="853" customFormat="1" ht="12" hidden="1" customHeight="1">
      <c r="B18" s="851"/>
      <c r="E18" s="867"/>
      <c r="F18" s="1115"/>
      <c r="G18" s="1115"/>
      <c r="H18" s="1115"/>
      <c r="I18" s="1115"/>
      <c r="J18" s="1116"/>
      <c r="K18" s="1116"/>
      <c r="L18" s="1116"/>
      <c r="M18" s="1116"/>
      <c r="N18" s="1116"/>
      <c r="O18" s="1115"/>
      <c r="P18" s="1115"/>
      <c r="Q18" s="1115"/>
      <c r="R18" s="1115"/>
      <c r="S18" s="1115"/>
      <c r="T18" s="1115"/>
      <c r="U18" s="1117"/>
      <c r="V18" s="1117"/>
      <c r="W18" s="1117"/>
      <c r="X18" s="1117"/>
      <c r="Y18" s="1117"/>
      <c r="Z18" s="1117"/>
      <c r="AA18" s="1117"/>
      <c r="AB18" s="1115"/>
      <c r="AC18" s="1116"/>
      <c r="AD18" s="1116"/>
      <c r="AE18" s="1116"/>
      <c r="AF18" s="1116"/>
      <c r="AG18" s="1116"/>
      <c r="AH18" s="1116"/>
      <c r="AI18" s="1116"/>
      <c r="AJ18" s="1116"/>
      <c r="AK18" s="1116"/>
      <c r="AL18" s="1116"/>
      <c r="AM18" s="1116"/>
      <c r="AN18" s="1116"/>
      <c r="AO18" s="1116"/>
      <c r="AP18" s="1116"/>
      <c r="AQ18" s="1116"/>
      <c r="AR18" s="1116"/>
      <c r="AS18" s="1116"/>
      <c r="AT18" s="1116"/>
      <c r="AU18" s="1116"/>
      <c r="AV18" s="1116"/>
      <c r="AW18" s="1116"/>
      <c r="AX18" s="1116"/>
      <c r="AY18" s="1116"/>
      <c r="AZ18" s="1116"/>
      <c r="BA18" s="1116"/>
      <c r="BB18" s="1116"/>
      <c r="BC18" s="1116"/>
      <c r="BD18" s="1116"/>
      <c r="BE18" s="1116"/>
      <c r="BF18" s="1116"/>
      <c r="BG18" s="1116"/>
      <c r="BH18" s="1116"/>
      <c r="BI18" s="1116"/>
      <c r="BJ18" s="1116"/>
      <c r="BK18" s="1116"/>
      <c r="BL18" s="1116"/>
      <c r="BM18" s="1116"/>
      <c r="BN18" s="1116"/>
      <c r="BO18" s="1116"/>
      <c r="BP18" s="1116"/>
      <c r="BQ18" s="1116"/>
      <c r="BR18" s="1116"/>
      <c r="BS18" s="1116"/>
      <c r="BT18" s="1118"/>
      <c r="BU18" s="1118"/>
      <c r="BV18" s="1118"/>
      <c r="BW18" s="1118"/>
      <c r="BX18" s="1118"/>
      <c r="BY18" s="1118"/>
      <c r="BZ18" s="1118"/>
      <c r="CA18" s="1118"/>
      <c r="CB18" s="1118"/>
      <c r="CC18" s="1118"/>
      <c r="CD18" s="1118"/>
      <c r="CE18" s="1118"/>
      <c r="CF18" s="1118"/>
      <c r="CG18" s="1118"/>
      <c r="CH18" s="1118"/>
      <c r="CI18" s="1118"/>
      <c r="CJ18" s="1118"/>
      <c r="CK18" s="1118"/>
      <c r="CL18" s="1116"/>
      <c r="CM18" s="1116"/>
      <c r="CN18" s="1116"/>
      <c r="CO18" s="1116"/>
      <c r="CP18" s="1116"/>
      <c r="CQ18" s="1116"/>
      <c r="CR18" s="1116"/>
      <c r="CS18" s="1116"/>
      <c r="CT18" s="1116"/>
      <c r="CU18" s="1116"/>
      <c r="CV18" s="1116"/>
      <c r="CW18" s="1116"/>
      <c r="CX18" s="1116"/>
      <c r="CY18" s="1118"/>
      <c r="CZ18" s="1118"/>
      <c r="DA18" s="1118"/>
      <c r="DB18" s="1118"/>
      <c r="DC18" s="1118"/>
      <c r="DD18" s="1118"/>
      <c r="DE18" s="1118"/>
      <c r="DF18" s="1118"/>
      <c r="DG18" s="1118"/>
      <c r="DH18" s="1118"/>
      <c r="DI18" s="1118"/>
      <c r="DJ18" s="1118"/>
      <c r="DK18" s="1116"/>
      <c r="DL18" s="1116"/>
      <c r="DM18" s="1116"/>
      <c r="DN18" s="1116"/>
      <c r="DO18" s="1116"/>
      <c r="DP18" s="1116"/>
      <c r="DQ18" s="1116"/>
      <c r="DR18" s="1116"/>
      <c r="DS18" s="1116"/>
      <c r="DT18" s="1116"/>
      <c r="DU18" s="1116"/>
      <c r="DV18" s="1116"/>
      <c r="DW18" s="1116"/>
      <c r="DX18" s="1116"/>
      <c r="DY18" s="1116"/>
      <c r="DZ18" s="1116"/>
      <c r="EA18" s="1116"/>
      <c r="EB18" s="1116"/>
      <c r="EC18" s="1116"/>
      <c r="ED18" s="1116"/>
      <c r="EE18" s="1116"/>
      <c r="EF18" s="1116"/>
      <c r="EG18" s="1116"/>
      <c r="EH18" s="1116"/>
      <c r="EI18" s="1116"/>
      <c r="EJ18" s="1116"/>
      <c r="EK18" s="1116"/>
      <c r="EL18" s="1116"/>
      <c r="EM18" s="1116"/>
      <c r="EN18" s="1116"/>
      <c r="EO18" s="1116"/>
      <c r="EP18" s="1116"/>
      <c r="EQ18" s="1116"/>
      <c r="ER18" s="1116"/>
      <c r="ES18" s="1116"/>
      <c r="ET18" s="1116"/>
      <c r="EU18" s="1116"/>
      <c r="EV18" s="1116"/>
      <c r="EW18" s="1116"/>
      <c r="EX18" s="1116"/>
      <c r="EY18" s="1116"/>
      <c r="EZ18" s="1116"/>
      <c r="FA18" s="1116"/>
      <c r="FB18" s="1116"/>
      <c r="FC18" s="1116"/>
      <c r="FD18" s="1116"/>
      <c r="FE18" s="1116"/>
      <c r="FF18" s="1116"/>
      <c r="FG18" s="1116"/>
      <c r="FH18" s="1116"/>
      <c r="FI18" s="1116"/>
      <c r="FJ18" s="1116"/>
      <c r="FK18" s="1116"/>
      <c r="FL18" s="1116"/>
      <c r="FM18" s="1116"/>
      <c r="FN18" s="1116"/>
      <c r="FO18" s="1116"/>
      <c r="FP18" s="1116"/>
      <c r="FQ18" s="1116"/>
      <c r="FR18" s="1116"/>
      <c r="FS18" s="1116"/>
      <c r="FT18" s="1116"/>
      <c r="FU18" s="1116"/>
      <c r="FV18" s="1116"/>
      <c r="FW18" s="1115"/>
      <c r="FX18" s="1119"/>
      <c r="GC18" s="852">
        <v>0</v>
      </c>
    </row>
    <row r="19" spans="1:185" s="853" customFormat="1" ht="11.25" hidden="1" customHeight="1">
      <c r="B19" s="851"/>
      <c r="E19" s="867"/>
      <c r="F19" s="1115"/>
      <c r="G19" s="1115"/>
      <c r="H19" s="1115"/>
      <c r="I19" s="1115"/>
      <c r="J19" s="1115"/>
      <c r="K19" s="1115"/>
      <c r="L19" s="1115"/>
      <c r="M19" s="1115"/>
      <c r="N19" s="1115"/>
      <c r="O19" s="1115"/>
      <c r="P19" s="1115"/>
      <c r="Q19" s="1115"/>
      <c r="R19" s="1115"/>
      <c r="S19" s="1115"/>
      <c r="T19" s="1115"/>
      <c r="U19" s="1117"/>
      <c r="V19" s="1117"/>
      <c r="W19" s="1117"/>
      <c r="X19" s="1117"/>
      <c r="Y19" s="1117"/>
      <c r="Z19" s="1117"/>
      <c r="AA19" s="1117"/>
      <c r="AB19" s="1115"/>
      <c r="AC19" s="1115"/>
      <c r="AD19" s="1115"/>
      <c r="AE19" s="1115"/>
      <c r="AF19" s="1115"/>
      <c r="AG19" s="1115"/>
      <c r="AH19" s="1115"/>
      <c r="AI19" s="1115"/>
      <c r="AJ19" s="1115"/>
      <c r="AK19" s="1115"/>
      <c r="AL19" s="1115"/>
      <c r="AM19" s="1115"/>
      <c r="AN19" s="1115"/>
      <c r="AO19" s="1115"/>
      <c r="AP19" s="1115"/>
      <c r="AQ19" s="1115"/>
      <c r="AR19" s="1115"/>
      <c r="AS19" s="1115"/>
      <c r="AT19" s="1115"/>
      <c r="AU19" s="1115"/>
      <c r="AV19" s="1115"/>
      <c r="AW19" s="1115"/>
      <c r="AX19" s="1115"/>
      <c r="AY19" s="1115"/>
      <c r="AZ19" s="1115"/>
      <c r="BA19" s="1115"/>
      <c r="BB19" s="1115"/>
      <c r="BC19" s="1115"/>
      <c r="BD19" s="1115"/>
      <c r="BE19" s="1115"/>
      <c r="BF19" s="1115"/>
      <c r="BG19" s="1115"/>
      <c r="BH19" s="1115"/>
      <c r="BI19" s="1115"/>
      <c r="BJ19" s="1115"/>
      <c r="BK19" s="1115"/>
      <c r="BL19" s="1115"/>
      <c r="BM19" s="1115"/>
      <c r="BN19" s="1115"/>
      <c r="BO19" s="1115"/>
      <c r="BP19" s="1115"/>
      <c r="BQ19" s="1115"/>
      <c r="BR19" s="1115"/>
      <c r="BS19" s="1115"/>
      <c r="BT19" s="1115"/>
      <c r="BU19" s="1115"/>
      <c r="BV19" s="1115"/>
      <c r="BW19" s="1115"/>
      <c r="BX19" s="1115"/>
      <c r="BY19" s="1115"/>
      <c r="BZ19" s="1115"/>
      <c r="CA19" s="1115"/>
      <c r="CB19" s="1115"/>
      <c r="CC19" s="1115"/>
      <c r="CD19" s="1115"/>
      <c r="CE19" s="1115"/>
      <c r="CF19" s="1115"/>
      <c r="CG19" s="1115"/>
      <c r="CH19" s="1115"/>
      <c r="CI19" s="1115"/>
      <c r="CJ19" s="1115"/>
      <c r="CK19" s="1115"/>
      <c r="CL19" s="1115"/>
      <c r="CM19" s="1115"/>
      <c r="CN19" s="1115"/>
      <c r="CO19" s="1115"/>
      <c r="CP19" s="1115"/>
      <c r="CQ19" s="1115"/>
      <c r="CR19" s="1115"/>
      <c r="CS19" s="1115"/>
      <c r="CT19" s="1115"/>
      <c r="CU19" s="1115"/>
      <c r="CV19" s="1115"/>
      <c r="CW19" s="1115"/>
      <c r="CX19" s="1115"/>
      <c r="CY19" s="1115"/>
      <c r="CZ19" s="1115"/>
      <c r="DA19" s="1115"/>
      <c r="DB19" s="1115"/>
      <c r="DC19" s="1115"/>
      <c r="DD19" s="1115"/>
      <c r="DE19" s="1115"/>
      <c r="DF19" s="1115"/>
      <c r="DG19" s="1115"/>
      <c r="DH19" s="1115"/>
      <c r="DI19" s="1115"/>
      <c r="DJ19" s="1115"/>
      <c r="DK19" s="1115"/>
      <c r="DL19" s="1115"/>
      <c r="DM19" s="1115"/>
      <c r="DN19" s="1115"/>
      <c r="DO19" s="1115"/>
      <c r="DP19" s="1115"/>
      <c r="DQ19" s="1115"/>
      <c r="DR19" s="1115"/>
      <c r="DS19" s="1115"/>
      <c r="DT19" s="1115"/>
      <c r="DU19" s="1115"/>
      <c r="DV19" s="1115"/>
      <c r="DW19" s="1115"/>
      <c r="DX19" s="1115"/>
      <c r="DY19" s="1115"/>
      <c r="DZ19" s="1115"/>
      <c r="EA19" s="1115"/>
      <c r="EB19" s="1115"/>
      <c r="EC19" s="1115"/>
      <c r="ED19" s="1115"/>
      <c r="EE19" s="1115"/>
      <c r="EF19" s="1115"/>
      <c r="EG19" s="1115"/>
      <c r="EH19" s="1115"/>
      <c r="EI19" s="1115"/>
      <c r="EJ19" s="1115"/>
      <c r="EK19" s="1115"/>
      <c r="EL19" s="1115"/>
      <c r="EM19" s="1115"/>
      <c r="EN19" s="1115"/>
      <c r="EO19" s="1115"/>
      <c r="EP19" s="1115"/>
      <c r="EQ19" s="1115"/>
      <c r="ER19" s="1115"/>
      <c r="ES19" s="1115"/>
      <c r="ET19" s="1115"/>
      <c r="EU19" s="1115"/>
      <c r="EV19" s="1115"/>
      <c r="EW19" s="1115"/>
      <c r="EX19" s="1115"/>
      <c r="EY19" s="1115"/>
      <c r="EZ19" s="1115"/>
      <c r="FA19" s="1115"/>
      <c r="FB19" s="1115"/>
      <c r="FC19" s="1115"/>
      <c r="FD19" s="1115"/>
      <c r="FE19" s="1115"/>
      <c r="FF19" s="1115"/>
      <c r="FG19" s="1115"/>
      <c r="FH19" s="1115"/>
      <c r="FI19" s="1115"/>
      <c r="FJ19" s="1115"/>
      <c r="FK19" s="1115"/>
      <c r="FL19" s="1115"/>
      <c r="FM19" s="1115"/>
      <c r="FN19" s="1115"/>
      <c r="FO19" s="1115"/>
      <c r="FP19" s="1115"/>
      <c r="FQ19" s="1115"/>
      <c r="FR19" s="1115"/>
      <c r="FS19" s="1115"/>
      <c r="FT19" s="1115"/>
      <c r="FU19" s="1115"/>
      <c r="FV19" s="1115"/>
      <c r="FW19" s="1115"/>
      <c r="FX19" s="1119"/>
      <c r="GC19" s="852">
        <v>0</v>
      </c>
    </row>
    <row r="20" spans="1:185" s="853" customFormat="1" ht="11.25" hidden="1" customHeight="1">
      <c r="B20" s="868"/>
      <c r="D20" s="852"/>
      <c r="E20" s="867"/>
      <c r="F20" s="1120" t="s">
        <v>395</v>
      </c>
      <c r="G20" s="1121"/>
      <c r="H20" s="1122"/>
      <c r="I20" s="1122"/>
      <c r="J20" s="1122"/>
      <c r="K20" s="1122"/>
      <c r="L20" s="1122"/>
      <c r="M20" s="1122"/>
      <c r="N20" s="1122"/>
      <c r="O20" s="1121"/>
      <c r="P20" s="1121"/>
      <c r="Q20" s="1121"/>
      <c r="R20" s="1121"/>
      <c r="S20" s="1121"/>
      <c r="T20" s="1121"/>
      <c r="U20" s="1123"/>
      <c r="V20" s="1123"/>
      <c r="W20" s="1123"/>
      <c r="X20" s="1123"/>
      <c r="Y20" s="1123"/>
      <c r="Z20" s="1123"/>
      <c r="AA20" s="1123"/>
      <c r="AB20" s="1121"/>
      <c r="AC20" s="1122"/>
      <c r="AD20" s="1122"/>
      <c r="AE20" s="1122"/>
      <c r="AF20" s="1122"/>
      <c r="AG20" s="1122"/>
      <c r="AH20" s="1122"/>
      <c r="AI20" s="1122"/>
      <c r="AJ20" s="1122"/>
      <c r="AK20" s="1122"/>
      <c r="AL20" s="1122"/>
      <c r="AM20" s="1122"/>
      <c r="AN20" s="1122"/>
      <c r="AO20" s="1122"/>
      <c r="AP20" s="1122"/>
      <c r="AQ20" s="1122"/>
      <c r="AR20" s="1122"/>
      <c r="AS20" s="1122"/>
      <c r="AT20" s="1122"/>
      <c r="AU20" s="1122"/>
      <c r="AV20" s="1122"/>
      <c r="AW20" s="1122"/>
      <c r="AX20" s="1122"/>
      <c r="AY20" s="1122"/>
      <c r="AZ20" s="1122"/>
      <c r="BA20" s="1122"/>
      <c r="BB20" s="1122"/>
      <c r="BC20" s="1122"/>
      <c r="BD20" s="1122"/>
      <c r="BE20" s="1122"/>
      <c r="BF20" s="1122"/>
      <c r="BG20" s="1122"/>
      <c r="BH20" s="1122"/>
      <c r="BI20" s="1122"/>
      <c r="BJ20" s="1122"/>
      <c r="BK20" s="1122"/>
      <c r="BL20" s="1122"/>
      <c r="BM20" s="1122"/>
      <c r="BN20" s="1122"/>
      <c r="BO20" s="1122"/>
      <c r="BP20" s="1122"/>
      <c r="BQ20" s="1122"/>
      <c r="BR20" s="1122"/>
      <c r="BS20" s="1122"/>
      <c r="BT20" s="1122"/>
      <c r="BU20" s="1122"/>
      <c r="BV20" s="1122"/>
      <c r="BW20" s="1122"/>
      <c r="BX20" s="1122"/>
      <c r="BY20" s="1122"/>
      <c r="BZ20" s="1122"/>
      <c r="CA20" s="1122"/>
      <c r="CB20" s="1122"/>
      <c r="CC20" s="1122"/>
      <c r="CD20" s="1122"/>
      <c r="CE20" s="1122"/>
      <c r="CF20" s="1122"/>
      <c r="CG20" s="1122"/>
      <c r="CH20" s="1122"/>
      <c r="CI20" s="1122"/>
      <c r="CJ20" s="1122"/>
      <c r="CK20" s="1122"/>
      <c r="CL20" s="1124"/>
      <c r="CM20" s="1124"/>
      <c r="CN20" s="1124"/>
      <c r="CO20" s="1124"/>
      <c r="CP20" s="1124"/>
      <c r="CQ20" s="1124"/>
      <c r="CR20" s="1124"/>
      <c r="CS20" s="1124"/>
      <c r="CT20" s="1124"/>
      <c r="CU20" s="1124"/>
      <c r="CV20" s="1124"/>
      <c r="CW20" s="1124"/>
      <c r="CX20" s="1124"/>
      <c r="CY20" s="1124"/>
      <c r="CZ20" s="1124"/>
      <c r="DA20" s="1124"/>
      <c r="DB20" s="1124"/>
      <c r="DC20" s="1124"/>
      <c r="DD20" s="1124"/>
      <c r="DE20" s="1124"/>
      <c r="DF20" s="1124"/>
      <c r="DG20" s="1124"/>
      <c r="DH20" s="1124"/>
      <c r="DI20" s="1124"/>
      <c r="DJ20" s="1124"/>
      <c r="DK20" s="1124"/>
      <c r="DL20" s="1124"/>
      <c r="DM20" s="1124"/>
      <c r="DN20" s="1124"/>
      <c r="DO20" s="1124"/>
      <c r="DP20" s="1124"/>
      <c r="DQ20" s="1124"/>
      <c r="DR20" s="1124"/>
      <c r="DS20" s="1124"/>
      <c r="DT20" s="1124"/>
      <c r="DU20" s="1124"/>
      <c r="DV20" s="1124"/>
      <c r="DW20" s="1124"/>
      <c r="DX20" s="1124"/>
      <c r="DY20" s="1124"/>
      <c r="DZ20" s="1124"/>
      <c r="EA20" s="1124"/>
      <c r="EB20" s="1124"/>
      <c r="EC20" s="1124"/>
      <c r="ED20" s="1124"/>
      <c r="EE20" s="1124"/>
      <c r="EF20" s="1124"/>
      <c r="EG20" s="1124"/>
      <c r="EH20" s="1124"/>
      <c r="EI20" s="1124"/>
      <c r="EJ20" s="1124"/>
      <c r="EK20" s="1124"/>
      <c r="EL20" s="1124"/>
      <c r="EM20" s="1124"/>
      <c r="EN20" s="1124"/>
      <c r="EO20" s="1124"/>
      <c r="EP20" s="1124"/>
      <c r="EQ20" s="1124"/>
      <c r="ER20" s="1124"/>
      <c r="ES20" s="1124"/>
      <c r="ET20" s="1124"/>
      <c r="EU20" s="1124"/>
      <c r="EV20" s="1124"/>
      <c r="EW20" s="1124"/>
      <c r="EX20" s="1124"/>
      <c r="EY20" s="1124"/>
      <c r="EZ20" s="1124"/>
      <c r="FA20" s="1124"/>
      <c r="FB20" s="1124"/>
      <c r="FC20" s="1124"/>
      <c r="FD20" s="1124"/>
      <c r="FE20" s="1124"/>
      <c r="FF20" s="1124"/>
      <c r="FG20" s="1124"/>
      <c r="FH20" s="1124"/>
      <c r="FI20" s="1124"/>
      <c r="FJ20" s="1124"/>
      <c r="FK20" s="1124"/>
      <c r="FL20" s="1124"/>
      <c r="FM20" s="1124"/>
      <c r="FN20" s="1124"/>
      <c r="FO20" s="1124"/>
      <c r="FP20" s="1124"/>
      <c r="FQ20" s="1124"/>
      <c r="FR20" s="1124"/>
      <c r="FS20" s="1124"/>
      <c r="FT20" s="1124"/>
      <c r="FU20" s="1124"/>
      <c r="FV20" s="1124"/>
      <c r="FW20" s="1124"/>
      <c r="FX20" s="1125"/>
      <c r="GC20" s="850">
        <v>0</v>
      </c>
    </row>
    <row r="21" spans="1:185" s="853" customFormat="1" ht="21" customHeight="1">
      <c r="A21" s="1247" t="s">
        <v>1161</v>
      </c>
      <c r="B21" s="868"/>
      <c r="E21" s="867" t="s">
        <v>22</v>
      </c>
      <c r="F21" s="1045" t="str">
        <f>INDEX(IP_MAIN_LIST_NAME_IP,MATCH(A21,IP_MAIN_LIST_IP_ID,0))&amp;" ("&amp;INDEX(IP_MAIN_START_DATE,MATCH(A21,IP_MAIN_LIST_IP_ID,0))&amp;"-"&amp;INDEX(IP_MAIN_END_DATE,MATCH(A21,IP_MAIN_LIST_IP_ID,0))&amp;")"</f>
        <v>Инвестиционная программа от 18.11.2013 ПАО "ТГК-2" в сфере теплоснабжения по строительству, реконструкции, модернизации и развитию систем теплоснабжения от котельных и тепловых сетей, на территории городского округа Архангельск на 2014-2026 годы (01.01.2014-31.12.2026)</v>
      </c>
      <c r="G21" s="1126"/>
      <c r="H21" s="1127"/>
      <c r="I21" s="1127"/>
      <c r="J21" s="1127"/>
      <c r="K21" s="1127"/>
      <c r="L21" s="1127"/>
      <c r="M21" s="1127"/>
      <c r="N21" s="1127"/>
      <c r="O21" s="1126"/>
      <c r="P21" s="1126"/>
      <c r="Q21" s="1126"/>
      <c r="R21" s="1126"/>
      <c r="S21" s="1126"/>
      <c r="T21" s="1126"/>
      <c r="U21" s="1128"/>
      <c r="V21" s="1128"/>
      <c r="W21" s="1128"/>
      <c r="X21" s="1128"/>
      <c r="Y21" s="1128"/>
      <c r="Z21" s="1128"/>
      <c r="AA21" s="1128"/>
      <c r="AB21" s="1126"/>
      <c r="AC21" s="1127"/>
      <c r="AD21" s="1127"/>
      <c r="AE21" s="1127"/>
      <c r="AF21" s="1127"/>
      <c r="AG21" s="1127"/>
      <c r="AH21" s="1127"/>
      <c r="AI21" s="1127"/>
      <c r="AJ21" s="1127"/>
      <c r="AK21" s="1127"/>
      <c r="AL21" s="1127"/>
      <c r="AM21" s="1127"/>
      <c r="AN21" s="1127"/>
      <c r="AO21" s="1127"/>
      <c r="AP21" s="1127"/>
      <c r="AQ21" s="1127"/>
      <c r="AR21" s="1127"/>
      <c r="AS21" s="1127"/>
      <c r="AT21" s="1127"/>
      <c r="AU21" s="1127"/>
      <c r="AV21" s="1127"/>
      <c r="AW21" s="1127"/>
      <c r="AX21" s="1127"/>
      <c r="AY21" s="1127"/>
      <c r="AZ21" s="1127"/>
      <c r="BA21" s="1127"/>
      <c r="BB21" s="1127"/>
      <c r="BC21" s="1127"/>
      <c r="BD21" s="1127"/>
      <c r="BE21" s="1127"/>
      <c r="BF21" s="1127"/>
      <c r="BG21" s="1127"/>
      <c r="BH21" s="1127"/>
      <c r="BI21" s="1127"/>
      <c r="BJ21" s="1127"/>
      <c r="BK21" s="1127"/>
      <c r="BL21" s="1127"/>
      <c r="BM21" s="1127"/>
      <c r="BN21" s="1127"/>
      <c r="BO21" s="1127"/>
      <c r="BP21" s="1127"/>
      <c r="BQ21" s="1127"/>
      <c r="BR21" s="1127"/>
      <c r="BS21" s="1127"/>
      <c r="BT21" s="1127"/>
      <c r="BU21" s="1127"/>
      <c r="BV21" s="1127"/>
      <c r="BW21" s="1127"/>
      <c r="BX21" s="1127"/>
      <c r="BY21" s="1127"/>
      <c r="BZ21" s="1127"/>
      <c r="CA21" s="1127"/>
      <c r="CB21" s="1127"/>
      <c r="CC21" s="1127"/>
      <c r="CD21" s="1127"/>
      <c r="CE21" s="1127"/>
      <c r="CF21" s="1127"/>
      <c r="CG21" s="1127"/>
      <c r="CH21" s="1127"/>
      <c r="CI21" s="1127"/>
      <c r="CJ21" s="1127"/>
      <c r="CK21" s="1127"/>
      <c r="CL21" s="1129"/>
      <c r="CM21" s="1129"/>
      <c r="CN21" s="1129"/>
      <c r="CO21" s="1129"/>
      <c r="CP21" s="1129"/>
      <c r="CQ21" s="1129"/>
      <c r="CR21" s="1129"/>
      <c r="CS21" s="1129"/>
      <c r="CT21" s="1129"/>
      <c r="CU21" s="1129"/>
      <c r="CV21" s="1129"/>
      <c r="CW21" s="1129"/>
      <c r="CX21" s="1129"/>
      <c r="CY21" s="1129"/>
      <c r="CZ21" s="1129"/>
      <c r="DA21" s="1129"/>
      <c r="DB21" s="1129"/>
      <c r="DC21" s="1129"/>
      <c r="DD21" s="1129"/>
      <c r="DE21" s="1129"/>
      <c r="DF21" s="1129"/>
      <c r="DG21" s="1129"/>
      <c r="DH21" s="1129"/>
      <c r="DI21" s="1129"/>
      <c r="DJ21" s="1129"/>
      <c r="DK21" s="1129"/>
      <c r="DL21" s="1129"/>
      <c r="DM21" s="1129"/>
      <c r="DN21" s="1129"/>
      <c r="DO21" s="1129"/>
      <c r="DP21" s="1129"/>
      <c r="DQ21" s="1129"/>
      <c r="DR21" s="1129"/>
      <c r="DS21" s="1129"/>
      <c r="DT21" s="1129"/>
      <c r="DU21" s="1129"/>
      <c r="DV21" s="1129"/>
      <c r="DW21" s="1129"/>
      <c r="DX21" s="1129"/>
      <c r="DY21" s="1129"/>
      <c r="DZ21" s="1129"/>
      <c r="EA21" s="1129"/>
      <c r="EB21" s="1129"/>
      <c r="EC21" s="1129"/>
      <c r="ED21" s="1129"/>
      <c r="EE21" s="1129"/>
      <c r="EF21" s="1129"/>
      <c r="EG21" s="1129"/>
      <c r="EH21" s="1129"/>
      <c r="EI21" s="1129"/>
      <c r="EJ21" s="1129"/>
      <c r="EK21" s="1129"/>
      <c r="EL21" s="1129"/>
      <c r="EM21" s="1129"/>
      <c r="EN21" s="1129"/>
      <c r="EO21" s="1129"/>
      <c r="EP21" s="1129"/>
      <c r="EQ21" s="1129"/>
      <c r="ER21" s="1129"/>
      <c r="ES21" s="1129"/>
      <c r="ET21" s="1129"/>
      <c r="EU21" s="1129"/>
      <c r="EV21" s="1129"/>
      <c r="EW21" s="1129"/>
      <c r="EX21" s="1129"/>
      <c r="EY21" s="1129"/>
      <c r="EZ21" s="1129"/>
      <c r="FA21" s="1129"/>
      <c r="FB21" s="1129"/>
      <c r="FC21" s="1129"/>
      <c r="FD21" s="1129"/>
      <c r="FE21" s="1129"/>
      <c r="FF21" s="1129"/>
      <c r="FG21" s="1129"/>
      <c r="FH21" s="1129"/>
      <c r="FI21" s="1129"/>
      <c r="FJ21" s="1129"/>
      <c r="FK21" s="1129"/>
      <c r="FL21" s="1129"/>
      <c r="FM21" s="1129"/>
      <c r="FN21" s="1129"/>
      <c r="FO21" s="1129"/>
      <c r="FP21" s="1129"/>
      <c r="FQ21" s="1129"/>
      <c r="FR21" s="1129"/>
      <c r="FS21" s="1129"/>
      <c r="FT21" s="1129"/>
      <c r="FU21" s="1129"/>
      <c r="FV21" s="1130"/>
      <c r="FW21" s="1124"/>
      <c r="FX21" s="1125"/>
    </row>
    <row r="22" spans="1:185" s="853" customFormat="1" ht="24.75" customHeight="1">
      <c r="A22" s="853" t="s">
        <v>1161</v>
      </c>
      <c r="B22" s="868"/>
      <c r="E22" s="1767"/>
      <c r="F22" s="2029">
        <v>1</v>
      </c>
      <c r="G22" s="2042" t="s">
        <v>1313</v>
      </c>
      <c r="H22" s="1133" t="s">
        <v>68</v>
      </c>
      <c r="I22" s="1896" t="s">
        <v>615</v>
      </c>
      <c r="J22" s="1134"/>
      <c r="K22" s="1134"/>
      <c r="L22" s="1134"/>
      <c r="M22" s="1134"/>
      <c r="N22" s="1134"/>
      <c r="O22" s="1135"/>
      <c r="P22" s="1135"/>
      <c r="Q22" s="1135">
        <v>0</v>
      </c>
      <c r="R22" s="1135">
        <v>0</v>
      </c>
      <c r="S22" s="1135">
        <v>0.13389999999999999</v>
      </c>
      <c r="T22" s="1135">
        <v>0.13127</v>
      </c>
      <c r="U22" s="1135"/>
      <c r="V22" s="1135"/>
      <c r="W22" s="1135"/>
      <c r="X22" s="1135"/>
      <c r="Y22" s="1135"/>
      <c r="Z22" s="1135"/>
      <c r="AA22" s="1135"/>
      <c r="AB22" s="1135"/>
      <c r="AC22" s="1134"/>
      <c r="AD22" s="1134"/>
      <c r="AE22" s="1134"/>
      <c r="AF22" s="1134"/>
      <c r="AG22" s="1134"/>
      <c r="AH22" s="1134"/>
      <c r="AI22" s="1134"/>
      <c r="AJ22" s="1134"/>
      <c r="AK22" s="1134"/>
      <c r="AL22" s="1134"/>
      <c r="AM22" s="1134"/>
      <c r="AN22" s="1134"/>
      <c r="AO22" s="1134"/>
      <c r="AP22" s="1134"/>
      <c r="AQ22" s="1134"/>
      <c r="AR22" s="1134"/>
      <c r="AS22" s="1134"/>
      <c r="AT22" s="1134"/>
      <c r="AU22" s="1134"/>
      <c r="AV22" s="1134"/>
      <c r="AW22" s="1134"/>
      <c r="AX22" s="1134"/>
      <c r="AY22" s="1134"/>
      <c r="AZ22" s="1134"/>
      <c r="BA22" s="1134"/>
      <c r="BB22" s="1134"/>
      <c r="BC22" s="1134"/>
      <c r="BD22" s="1134"/>
      <c r="BE22" s="1134"/>
      <c r="BF22" s="1134"/>
      <c r="BG22" s="1134"/>
      <c r="BH22" s="1134"/>
      <c r="BI22" s="1134"/>
      <c r="BJ22" s="1134"/>
      <c r="BK22" s="1134"/>
      <c r="BL22" s="1134"/>
      <c r="BM22" s="1134"/>
      <c r="BN22" s="1134"/>
      <c r="BO22" s="1134"/>
      <c r="BP22" s="1134"/>
      <c r="BQ22" s="1134"/>
      <c r="BR22" s="1134"/>
      <c r="BS22" s="1134"/>
      <c r="BT22" s="1135"/>
      <c r="BU22" s="1135"/>
      <c r="BV22" s="1135"/>
      <c r="BW22" s="1135"/>
      <c r="BX22" s="1135"/>
      <c r="BY22" s="1135"/>
      <c r="BZ22" s="1135"/>
      <c r="CA22" s="1135"/>
      <c r="CB22" s="1135"/>
      <c r="CC22" s="1135"/>
      <c r="CD22" s="1135"/>
      <c r="CE22" s="1135"/>
      <c r="CF22" s="1135"/>
      <c r="CG22" s="1135"/>
      <c r="CH22" s="1135"/>
      <c r="CI22" s="1135"/>
      <c r="CJ22" s="1135"/>
      <c r="CK22" s="1135"/>
      <c r="CL22" s="1134"/>
      <c r="CM22" s="1134"/>
      <c r="CN22" s="1134"/>
      <c r="CO22" s="1134"/>
      <c r="CP22" s="1134"/>
      <c r="CQ22" s="1134"/>
      <c r="CR22" s="1134"/>
      <c r="CS22" s="1134"/>
      <c r="CT22" s="1134"/>
      <c r="CU22" s="1134"/>
      <c r="CV22" s="1134"/>
      <c r="CW22" s="1134"/>
      <c r="CX22" s="1134"/>
      <c r="CY22" s="1135"/>
      <c r="CZ22" s="1135"/>
      <c r="DA22" s="1135"/>
      <c r="DB22" s="1135"/>
      <c r="DC22" s="1135"/>
      <c r="DD22" s="1135"/>
      <c r="DE22" s="1135"/>
      <c r="DF22" s="1135"/>
      <c r="DG22" s="1135"/>
      <c r="DH22" s="1135"/>
      <c r="DI22" s="1135"/>
      <c r="DJ22" s="1135"/>
      <c r="DK22" s="1134"/>
      <c r="DL22" s="1134"/>
      <c r="DM22" s="1134"/>
      <c r="DN22" s="1134"/>
      <c r="DO22" s="1134"/>
      <c r="DP22" s="1134"/>
      <c r="DQ22" s="1134"/>
      <c r="DR22" s="1134"/>
      <c r="DS22" s="1134"/>
      <c r="DT22" s="1134"/>
      <c r="DU22" s="1134"/>
      <c r="DV22" s="1134"/>
      <c r="DW22" s="1134"/>
      <c r="DX22" s="1134"/>
      <c r="DY22" s="1134"/>
      <c r="DZ22" s="1134"/>
      <c r="EA22" s="1134"/>
      <c r="EB22" s="1134"/>
      <c r="EC22" s="1134"/>
      <c r="ED22" s="1134"/>
      <c r="EE22" s="1134"/>
      <c r="EF22" s="1134"/>
      <c r="EG22" s="1134"/>
      <c r="EH22" s="1134"/>
      <c r="EI22" s="1134"/>
      <c r="EJ22" s="1134"/>
      <c r="EK22" s="1134"/>
      <c r="EL22" s="1134"/>
      <c r="EM22" s="1134"/>
      <c r="EN22" s="1134"/>
      <c r="EO22" s="1134"/>
      <c r="EP22" s="1134"/>
      <c r="EQ22" s="1134"/>
      <c r="ER22" s="1134"/>
      <c r="ES22" s="1134"/>
      <c r="ET22" s="1134"/>
      <c r="EU22" s="1134"/>
      <c r="EV22" s="1134"/>
      <c r="EW22" s="1134"/>
      <c r="EX22" s="1134"/>
      <c r="EY22" s="1134"/>
      <c r="EZ22" s="1134"/>
      <c r="FA22" s="1134"/>
      <c r="FB22" s="1134"/>
      <c r="FC22" s="1134"/>
      <c r="FD22" s="1134"/>
      <c r="FE22" s="1134"/>
      <c r="FF22" s="1134"/>
      <c r="FG22" s="1134"/>
      <c r="FH22" s="1134"/>
      <c r="FI22" s="1134"/>
      <c r="FJ22" s="1134"/>
      <c r="FK22" s="1134"/>
      <c r="FL22" s="1134"/>
      <c r="FM22" s="1134"/>
      <c r="FN22" s="1134"/>
      <c r="FO22" s="1134"/>
      <c r="FP22" s="1134"/>
      <c r="FQ22" s="1134"/>
      <c r="FR22" s="1134"/>
      <c r="FS22" s="1134"/>
      <c r="FT22" s="1134"/>
      <c r="FU22" s="1134"/>
      <c r="FV22" s="1134"/>
      <c r="FW22" s="1134"/>
      <c r="FX22" s="1125"/>
    </row>
    <row r="23" spans="1:185" s="853" customFormat="1" ht="24.75" customHeight="1">
      <c r="A23" s="853" t="s">
        <v>22</v>
      </c>
      <c r="B23" s="868"/>
      <c r="E23" s="619" t="s">
        <v>104</v>
      </c>
      <c r="F23" s="2029" t="s">
        <v>103</v>
      </c>
      <c r="G23" s="2042" t="s">
        <v>1313</v>
      </c>
      <c r="H23" s="1133" t="s">
        <v>68</v>
      </c>
      <c r="I23" s="1896" t="s">
        <v>619</v>
      </c>
      <c r="J23" s="1134"/>
      <c r="K23" s="1134"/>
      <c r="L23" s="1134"/>
      <c r="M23" s="1134"/>
      <c r="N23" s="1134"/>
      <c r="O23" s="1135"/>
      <c r="P23" s="1135"/>
      <c r="Q23" s="1135">
        <v>0</v>
      </c>
      <c r="R23" s="1135">
        <v>0</v>
      </c>
      <c r="S23" s="1135">
        <v>0.1424</v>
      </c>
      <c r="T23" s="1135">
        <v>0.15225</v>
      </c>
      <c r="U23" s="1135"/>
      <c r="V23" s="1135"/>
      <c r="W23" s="1135"/>
      <c r="X23" s="1135"/>
      <c r="Y23" s="1135"/>
      <c r="Z23" s="1135"/>
      <c r="AA23" s="1135"/>
      <c r="AB23" s="1135"/>
      <c r="AC23" s="1134"/>
      <c r="AD23" s="1134"/>
      <c r="AE23" s="1134"/>
      <c r="AF23" s="1134"/>
      <c r="AG23" s="1134"/>
      <c r="AH23" s="1134"/>
      <c r="AI23" s="1134"/>
      <c r="AJ23" s="1134"/>
      <c r="AK23" s="1134"/>
      <c r="AL23" s="1134"/>
      <c r="AM23" s="1134"/>
      <c r="AN23" s="1134"/>
      <c r="AO23" s="1134"/>
      <c r="AP23" s="1134"/>
      <c r="AQ23" s="1134"/>
      <c r="AR23" s="1134"/>
      <c r="AS23" s="1134"/>
      <c r="AT23" s="1134"/>
      <c r="AU23" s="1134"/>
      <c r="AV23" s="1134"/>
      <c r="AW23" s="1134"/>
      <c r="AX23" s="1134"/>
      <c r="AY23" s="1134"/>
      <c r="AZ23" s="1134"/>
      <c r="BA23" s="1134"/>
      <c r="BB23" s="1134"/>
      <c r="BC23" s="1134"/>
      <c r="BD23" s="1134"/>
      <c r="BE23" s="1134"/>
      <c r="BF23" s="1134"/>
      <c r="BG23" s="1134"/>
      <c r="BH23" s="1134"/>
      <c r="BI23" s="1134"/>
      <c r="BJ23" s="1134"/>
      <c r="BK23" s="1134"/>
      <c r="BL23" s="1134"/>
      <c r="BM23" s="1134"/>
      <c r="BN23" s="1134"/>
      <c r="BO23" s="1134"/>
      <c r="BP23" s="1134"/>
      <c r="BQ23" s="1134"/>
      <c r="BR23" s="1134"/>
      <c r="BS23" s="1134"/>
      <c r="BT23" s="1135"/>
      <c r="BU23" s="1135"/>
      <c r="BV23" s="1135"/>
      <c r="BW23" s="1135"/>
      <c r="BX23" s="1135"/>
      <c r="BY23" s="1135"/>
      <c r="BZ23" s="1135"/>
      <c r="CA23" s="1135"/>
      <c r="CB23" s="1135"/>
      <c r="CC23" s="1135"/>
      <c r="CD23" s="1135"/>
      <c r="CE23" s="1135"/>
      <c r="CF23" s="1135"/>
      <c r="CG23" s="1135"/>
      <c r="CH23" s="1135"/>
      <c r="CI23" s="1135"/>
      <c r="CJ23" s="1135"/>
      <c r="CK23" s="1135"/>
      <c r="CL23" s="1134"/>
      <c r="CM23" s="1134"/>
      <c r="CN23" s="1134"/>
      <c r="CO23" s="1134"/>
      <c r="CP23" s="1134"/>
      <c r="CQ23" s="1134"/>
      <c r="CR23" s="1134"/>
      <c r="CS23" s="1134"/>
      <c r="CT23" s="1134"/>
      <c r="CU23" s="1134"/>
      <c r="CV23" s="1134"/>
      <c r="CW23" s="1134"/>
      <c r="CX23" s="1134"/>
      <c r="CY23" s="1135"/>
      <c r="CZ23" s="1135"/>
      <c r="DA23" s="1135"/>
      <c r="DB23" s="1135"/>
      <c r="DC23" s="1135"/>
      <c r="DD23" s="1135"/>
      <c r="DE23" s="1135"/>
      <c r="DF23" s="1135"/>
      <c r="DG23" s="1135"/>
      <c r="DH23" s="1135"/>
      <c r="DI23" s="1135"/>
      <c r="DJ23" s="1135"/>
      <c r="DK23" s="1134"/>
      <c r="DL23" s="1134"/>
      <c r="DM23" s="1134"/>
      <c r="DN23" s="1134"/>
      <c r="DO23" s="1134"/>
      <c r="DP23" s="1134"/>
      <c r="DQ23" s="1134"/>
      <c r="DR23" s="1134"/>
      <c r="DS23" s="1134"/>
      <c r="DT23" s="1134"/>
      <c r="DU23" s="1134"/>
      <c r="DV23" s="1134"/>
      <c r="DW23" s="1134"/>
      <c r="DX23" s="1134"/>
      <c r="DY23" s="1134"/>
      <c r="DZ23" s="1134"/>
      <c r="EA23" s="1134"/>
      <c r="EB23" s="1134"/>
      <c r="EC23" s="1134"/>
      <c r="ED23" s="1134"/>
      <c r="EE23" s="1134"/>
      <c r="EF23" s="1134"/>
      <c r="EG23" s="1134"/>
      <c r="EH23" s="1134"/>
      <c r="EI23" s="1134"/>
      <c r="EJ23" s="1134"/>
      <c r="EK23" s="1134"/>
      <c r="EL23" s="1134"/>
      <c r="EM23" s="1134"/>
      <c r="EN23" s="1134"/>
      <c r="EO23" s="1134"/>
      <c r="EP23" s="1134"/>
      <c r="EQ23" s="1134"/>
      <c r="ER23" s="1134"/>
      <c r="ES23" s="1134"/>
      <c r="ET23" s="1134"/>
      <c r="EU23" s="1134"/>
      <c r="EV23" s="1134"/>
      <c r="EW23" s="1134"/>
      <c r="EX23" s="1134"/>
      <c r="EY23" s="1134"/>
      <c r="EZ23" s="1134"/>
      <c r="FA23" s="1134"/>
      <c r="FB23" s="1134"/>
      <c r="FC23" s="1134"/>
      <c r="FD23" s="1134"/>
      <c r="FE23" s="1134"/>
      <c r="FF23" s="1134"/>
      <c r="FG23" s="1134"/>
      <c r="FH23" s="1134"/>
      <c r="FI23" s="1134"/>
      <c r="FJ23" s="1134"/>
      <c r="FK23" s="1134"/>
      <c r="FL23" s="1134"/>
      <c r="FM23" s="1134"/>
      <c r="FN23" s="1134"/>
      <c r="FO23" s="1134"/>
      <c r="FP23" s="1134"/>
      <c r="FQ23" s="1134"/>
      <c r="FR23" s="1134"/>
      <c r="FS23" s="1134"/>
      <c r="FT23" s="1134"/>
      <c r="FU23" s="1134"/>
      <c r="FV23" s="1134"/>
      <c r="FW23" s="1134"/>
      <c r="FX23" s="1125"/>
    </row>
    <row r="24" spans="1:185" s="853" customFormat="1" ht="24.75" customHeight="1">
      <c r="A24" s="853" t="s">
        <v>22</v>
      </c>
      <c r="B24" s="868"/>
      <c r="E24" s="619" t="s">
        <v>104</v>
      </c>
      <c r="F24" s="2029" t="s">
        <v>91</v>
      </c>
      <c r="G24" s="2042" t="s">
        <v>1313</v>
      </c>
      <c r="H24" s="1133" t="s">
        <v>68</v>
      </c>
      <c r="I24" s="1896" t="s">
        <v>620</v>
      </c>
      <c r="J24" s="1134"/>
      <c r="K24" s="1134"/>
      <c r="L24" s="1134"/>
      <c r="M24" s="1134"/>
      <c r="N24" s="1134"/>
      <c r="O24" s="1135"/>
      <c r="P24" s="1135"/>
      <c r="Q24" s="1135">
        <v>0</v>
      </c>
      <c r="R24" s="1135">
        <v>0</v>
      </c>
      <c r="S24" s="1135">
        <v>0.13539999999999999</v>
      </c>
      <c r="T24" s="1135">
        <f>0.13602</f>
        <v>0.13602</v>
      </c>
      <c r="U24" s="1135"/>
      <c r="V24" s="1135"/>
      <c r="W24" s="1135"/>
      <c r="X24" s="1135"/>
      <c r="Y24" s="1135"/>
      <c r="Z24" s="1135"/>
      <c r="AA24" s="1135"/>
      <c r="AB24" s="1135"/>
      <c r="AC24" s="1134"/>
      <c r="AD24" s="1134"/>
      <c r="AE24" s="1134"/>
      <c r="AF24" s="1134"/>
      <c r="AG24" s="1134"/>
      <c r="AH24" s="1134"/>
      <c r="AI24" s="1134"/>
      <c r="AJ24" s="1134"/>
      <c r="AK24" s="1134"/>
      <c r="AL24" s="1134"/>
      <c r="AM24" s="1134"/>
      <c r="AN24" s="1134"/>
      <c r="AO24" s="1134"/>
      <c r="AP24" s="1134"/>
      <c r="AQ24" s="1134"/>
      <c r="AR24" s="1134"/>
      <c r="AS24" s="1134"/>
      <c r="AT24" s="1134"/>
      <c r="AU24" s="1134"/>
      <c r="AV24" s="1134"/>
      <c r="AW24" s="1134"/>
      <c r="AX24" s="1134"/>
      <c r="AY24" s="1134"/>
      <c r="AZ24" s="1134"/>
      <c r="BA24" s="1134"/>
      <c r="BB24" s="1134"/>
      <c r="BC24" s="1134"/>
      <c r="BD24" s="1134"/>
      <c r="BE24" s="1134"/>
      <c r="BF24" s="1134"/>
      <c r="BG24" s="1134"/>
      <c r="BH24" s="1134"/>
      <c r="BI24" s="1134"/>
      <c r="BJ24" s="1134"/>
      <c r="BK24" s="1134"/>
      <c r="BL24" s="1134"/>
      <c r="BM24" s="1134"/>
      <c r="BN24" s="1134"/>
      <c r="BO24" s="1134"/>
      <c r="BP24" s="1134"/>
      <c r="BQ24" s="1134"/>
      <c r="BR24" s="1134"/>
      <c r="BS24" s="1134"/>
      <c r="BT24" s="1135"/>
      <c r="BU24" s="1135"/>
      <c r="BV24" s="1135"/>
      <c r="BW24" s="1135"/>
      <c r="BX24" s="1135"/>
      <c r="BY24" s="1135"/>
      <c r="BZ24" s="1135"/>
      <c r="CA24" s="1135"/>
      <c r="CB24" s="1135"/>
      <c r="CC24" s="1135"/>
      <c r="CD24" s="1135"/>
      <c r="CE24" s="1135"/>
      <c r="CF24" s="1135"/>
      <c r="CG24" s="1135"/>
      <c r="CH24" s="1135"/>
      <c r="CI24" s="1135"/>
      <c r="CJ24" s="1135"/>
      <c r="CK24" s="1135"/>
      <c r="CL24" s="1134"/>
      <c r="CM24" s="1134"/>
      <c r="CN24" s="1134"/>
      <c r="CO24" s="1134"/>
      <c r="CP24" s="1134"/>
      <c r="CQ24" s="1134"/>
      <c r="CR24" s="1134"/>
      <c r="CS24" s="1134"/>
      <c r="CT24" s="1134"/>
      <c r="CU24" s="1134"/>
      <c r="CV24" s="1134"/>
      <c r="CW24" s="1134"/>
      <c r="CX24" s="1134"/>
      <c r="CY24" s="1135"/>
      <c r="CZ24" s="1135"/>
      <c r="DA24" s="1135"/>
      <c r="DB24" s="1135"/>
      <c r="DC24" s="1135"/>
      <c r="DD24" s="1135"/>
      <c r="DE24" s="1135"/>
      <c r="DF24" s="1135"/>
      <c r="DG24" s="1135"/>
      <c r="DH24" s="1135"/>
      <c r="DI24" s="1135"/>
      <c r="DJ24" s="1135"/>
      <c r="DK24" s="1134"/>
      <c r="DL24" s="1134"/>
      <c r="DM24" s="1134"/>
      <c r="DN24" s="1134"/>
      <c r="DO24" s="1134"/>
      <c r="DP24" s="1134"/>
      <c r="DQ24" s="1134"/>
      <c r="DR24" s="1134"/>
      <c r="DS24" s="1134"/>
      <c r="DT24" s="1134"/>
      <c r="DU24" s="1134"/>
      <c r="DV24" s="1134"/>
      <c r="DW24" s="1134"/>
      <c r="DX24" s="1134"/>
      <c r="DY24" s="1134"/>
      <c r="DZ24" s="1134"/>
      <c r="EA24" s="1134"/>
      <c r="EB24" s="1134"/>
      <c r="EC24" s="1134"/>
      <c r="ED24" s="1134"/>
      <c r="EE24" s="1134"/>
      <c r="EF24" s="1134"/>
      <c r="EG24" s="1134"/>
      <c r="EH24" s="1134"/>
      <c r="EI24" s="1134"/>
      <c r="EJ24" s="1134"/>
      <c r="EK24" s="1134"/>
      <c r="EL24" s="1134"/>
      <c r="EM24" s="1134"/>
      <c r="EN24" s="1134"/>
      <c r="EO24" s="1134"/>
      <c r="EP24" s="1134"/>
      <c r="EQ24" s="1134"/>
      <c r="ER24" s="1134"/>
      <c r="ES24" s="1134"/>
      <c r="ET24" s="1134"/>
      <c r="EU24" s="1134"/>
      <c r="EV24" s="1134"/>
      <c r="EW24" s="1134"/>
      <c r="EX24" s="1134"/>
      <c r="EY24" s="1134"/>
      <c r="EZ24" s="1134"/>
      <c r="FA24" s="1134"/>
      <c r="FB24" s="1134"/>
      <c r="FC24" s="1134"/>
      <c r="FD24" s="1134"/>
      <c r="FE24" s="1134"/>
      <c r="FF24" s="1134"/>
      <c r="FG24" s="1134"/>
      <c r="FH24" s="1134"/>
      <c r="FI24" s="1134"/>
      <c r="FJ24" s="1134"/>
      <c r="FK24" s="1134"/>
      <c r="FL24" s="1134"/>
      <c r="FM24" s="1134"/>
      <c r="FN24" s="1134"/>
      <c r="FO24" s="1134"/>
      <c r="FP24" s="1134"/>
      <c r="FQ24" s="1134"/>
      <c r="FR24" s="1134"/>
      <c r="FS24" s="1134"/>
      <c r="FT24" s="1134"/>
      <c r="FU24" s="1134"/>
      <c r="FV24" s="1134"/>
      <c r="FW24" s="1134"/>
      <c r="FX24" s="1125"/>
    </row>
    <row r="25" spans="1:185" s="853" customFormat="1" ht="24.75" customHeight="1">
      <c r="A25" s="853" t="s">
        <v>22</v>
      </c>
      <c r="B25" s="868"/>
      <c r="E25" s="619" t="s">
        <v>104</v>
      </c>
      <c r="F25" s="2029" t="s">
        <v>92</v>
      </c>
      <c r="G25" s="2042" t="s">
        <v>1313</v>
      </c>
      <c r="H25" s="1133" t="s">
        <v>68</v>
      </c>
      <c r="I25" s="1896" t="s">
        <v>1314</v>
      </c>
      <c r="J25" s="1134"/>
      <c r="K25" s="1134"/>
      <c r="L25" s="1134"/>
      <c r="M25" s="1134"/>
      <c r="N25" s="1134"/>
      <c r="O25" s="1135"/>
      <c r="P25" s="1135"/>
      <c r="Q25" s="1135">
        <v>0</v>
      </c>
      <c r="R25" s="1135">
        <v>0</v>
      </c>
      <c r="S25" s="1135">
        <v>0.15845000000000001</v>
      </c>
      <c r="T25" s="1135">
        <v>0.15101999999999999</v>
      </c>
      <c r="U25" s="1135"/>
      <c r="V25" s="1135"/>
      <c r="W25" s="1135"/>
      <c r="X25" s="1135"/>
      <c r="Y25" s="1135"/>
      <c r="Z25" s="1135"/>
      <c r="AA25" s="1135"/>
      <c r="AB25" s="1135"/>
      <c r="AC25" s="1134"/>
      <c r="AD25" s="1134"/>
      <c r="AE25" s="1134"/>
      <c r="AF25" s="1134"/>
      <c r="AG25" s="1134"/>
      <c r="AH25" s="1134"/>
      <c r="AI25" s="1134"/>
      <c r="AJ25" s="1134"/>
      <c r="AK25" s="1134"/>
      <c r="AL25" s="1134"/>
      <c r="AM25" s="1134"/>
      <c r="AN25" s="1134"/>
      <c r="AO25" s="1134"/>
      <c r="AP25" s="1134"/>
      <c r="AQ25" s="1134"/>
      <c r="AR25" s="1134"/>
      <c r="AS25" s="1134"/>
      <c r="AT25" s="1134"/>
      <c r="AU25" s="1134"/>
      <c r="AV25" s="1134"/>
      <c r="AW25" s="1134"/>
      <c r="AX25" s="1134"/>
      <c r="AY25" s="1134"/>
      <c r="AZ25" s="1134"/>
      <c r="BA25" s="1134"/>
      <c r="BB25" s="1134"/>
      <c r="BC25" s="1134"/>
      <c r="BD25" s="1134"/>
      <c r="BE25" s="1134"/>
      <c r="BF25" s="1134"/>
      <c r="BG25" s="1134"/>
      <c r="BH25" s="1134"/>
      <c r="BI25" s="1134"/>
      <c r="BJ25" s="1134"/>
      <c r="BK25" s="1134"/>
      <c r="BL25" s="1134"/>
      <c r="BM25" s="1134"/>
      <c r="BN25" s="1134"/>
      <c r="BO25" s="1134"/>
      <c r="BP25" s="1134"/>
      <c r="BQ25" s="1134"/>
      <c r="BR25" s="1134"/>
      <c r="BS25" s="1134"/>
      <c r="BT25" s="1135"/>
      <c r="BU25" s="1135"/>
      <c r="BV25" s="1135"/>
      <c r="BW25" s="1135"/>
      <c r="BX25" s="1135"/>
      <c r="BY25" s="1135"/>
      <c r="BZ25" s="1135"/>
      <c r="CA25" s="1135"/>
      <c r="CB25" s="1135"/>
      <c r="CC25" s="1135"/>
      <c r="CD25" s="1135"/>
      <c r="CE25" s="1135"/>
      <c r="CF25" s="1135"/>
      <c r="CG25" s="1135"/>
      <c r="CH25" s="1135"/>
      <c r="CI25" s="1135"/>
      <c r="CJ25" s="1135"/>
      <c r="CK25" s="1135"/>
      <c r="CL25" s="1134"/>
      <c r="CM25" s="1134"/>
      <c r="CN25" s="1134"/>
      <c r="CO25" s="1134"/>
      <c r="CP25" s="1134"/>
      <c r="CQ25" s="1134"/>
      <c r="CR25" s="1134"/>
      <c r="CS25" s="1134"/>
      <c r="CT25" s="1134"/>
      <c r="CU25" s="1134"/>
      <c r="CV25" s="1134"/>
      <c r="CW25" s="1134"/>
      <c r="CX25" s="1134"/>
      <c r="CY25" s="1135"/>
      <c r="CZ25" s="1135"/>
      <c r="DA25" s="1135"/>
      <c r="DB25" s="1135"/>
      <c r="DC25" s="1135"/>
      <c r="DD25" s="1135"/>
      <c r="DE25" s="1135"/>
      <c r="DF25" s="1135"/>
      <c r="DG25" s="1135"/>
      <c r="DH25" s="1135"/>
      <c r="DI25" s="1135"/>
      <c r="DJ25" s="1135"/>
      <c r="DK25" s="1134"/>
      <c r="DL25" s="1134"/>
      <c r="DM25" s="1134"/>
      <c r="DN25" s="1134"/>
      <c r="DO25" s="1134"/>
      <c r="DP25" s="1134"/>
      <c r="DQ25" s="1134"/>
      <c r="DR25" s="1134"/>
      <c r="DS25" s="1134"/>
      <c r="DT25" s="1134"/>
      <c r="DU25" s="1134"/>
      <c r="DV25" s="1134"/>
      <c r="DW25" s="1134"/>
      <c r="DX25" s="1134"/>
      <c r="DY25" s="1134"/>
      <c r="DZ25" s="1134"/>
      <c r="EA25" s="1134"/>
      <c r="EB25" s="1134"/>
      <c r="EC25" s="1134"/>
      <c r="ED25" s="1134"/>
      <c r="EE25" s="1134"/>
      <c r="EF25" s="1134"/>
      <c r="EG25" s="1134"/>
      <c r="EH25" s="1134"/>
      <c r="EI25" s="1134"/>
      <c r="EJ25" s="1134"/>
      <c r="EK25" s="1134"/>
      <c r="EL25" s="1134"/>
      <c r="EM25" s="1134"/>
      <c r="EN25" s="1134"/>
      <c r="EO25" s="1134"/>
      <c r="EP25" s="1134"/>
      <c r="EQ25" s="1134"/>
      <c r="ER25" s="1134"/>
      <c r="ES25" s="1134"/>
      <c r="ET25" s="1134"/>
      <c r="EU25" s="1134"/>
      <c r="EV25" s="1134"/>
      <c r="EW25" s="1134"/>
      <c r="EX25" s="1134"/>
      <c r="EY25" s="1134"/>
      <c r="EZ25" s="1134"/>
      <c r="FA25" s="1134"/>
      <c r="FB25" s="1134"/>
      <c r="FC25" s="1134"/>
      <c r="FD25" s="1134"/>
      <c r="FE25" s="1134"/>
      <c r="FF25" s="1134"/>
      <c r="FG25" s="1134"/>
      <c r="FH25" s="1134"/>
      <c r="FI25" s="1134"/>
      <c r="FJ25" s="1134"/>
      <c r="FK25" s="1134"/>
      <c r="FL25" s="1134"/>
      <c r="FM25" s="1134"/>
      <c r="FN25" s="1134"/>
      <c r="FO25" s="1134"/>
      <c r="FP25" s="1134"/>
      <c r="FQ25" s="1134"/>
      <c r="FR25" s="1134"/>
      <c r="FS25" s="1134"/>
      <c r="FT25" s="1134"/>
      <c r="FU25" s="1134"/>
      <c r="FV25" s="1134"/>
      <c r="FW25" s="1134"/>
      <c r="FX25" s="1125"/>
    </row>
    <row r="26" spans="1:185" s="853" customFormat="1" ht="24.75" customHeight="1">
      <c r="A26" s="853" t="s">
        <v>22</v>
      </c>
      <c r="B26" s="868"/>
      <c r="E26" s="619" t="s">
        <v>104</v>
      </c>
      <c r="F26" s="2029" t="s">
        <v>123</v>
      </c>
      <c r="G26" s="2042" t="s">
        <v>1313</v>
      </c>
      <c r="H26" s="1133" t="s">
        <v>68</v>
      </c>
      <c r="I26" s="1896" t="s">
        <v>1315</v>
      </c>
      <c r="J26" s="1134"/>
      <c r="K26" s="1134"/>
      <c r="L26" s="1134"/>
      <c r="M26" s="1134"/>
      <c r="N26" s="1134"/>
      <c r="O26" s="1135">
        <v>0</v>
      </c>
      <c r="P26" s="1135">
        <v>1.626E-2</v>
      </c>
      <c r="Q26" s="1135"/>
      <c r="R26" s="1135"/>
      <c r="S26" s="1135"/>
      <c r="T26" s="1135"/>
      <c r="U26" s="1135">
        <v>3.12</v>
      </c>
      <c r="V26" s="1135">
        <v>3.2570000000000001</v>
      </c>
      <c r="W26" s="1135"/>
      <c r="X26" s="1135"/>
      <c r="Y26" s="1135">
        <v>423847</v>
      </c>
      <c r="Z26" s="1135">
        <v>443562.01</v>
      </c>
      <c r="AA26" s="1135"/>
      <c r="AB26" s="1135"/>
      <c r="AC26" s="1134"/>
      <c r="AD26" s="1134"/>
      <c r="AE26" s="1134"/>
      <c r="AF26" s="1134"/>
      <c r="AG26" s="1134"/>
      <c r="AH26" s="1134"/>
      <c r="AI26" s="1134"/>
      <c r="AJ26" s="1134"/>
      <c r="AK26" s="1134"/>
      <c r="AL26" s="1134"/>
      <c r="AM26" s="1134"/>
      <c r="AN26" s="1134"/>
      <c r="AO26" s="1134"/>
      <c r="AP26" s="1134"/>
      <c r="AQ26" s="1134"/>
      <c r="AR26" s="1134"/>
      <c r="AS26" s="1134"/>
      <c r="AT26" s="1134"/>
      <c r="AU26" s="1134"/>
      <c r="AV26" s="1134"/>
      <c r="AW26" s="1134"/>
      <c r="AX26" s="1134"/>
      <c r="AY26" s="1134"/>
      <c r="AZ26" s="1134"/>
      <c r="BA26" s="1134"/>
      <c r="BB26" s="1134"/>
      <c r="BC26" s="1134"/>
      <c r="BD26" s="1134"/>
      <c r="BE26" s="1134"/>
      <c r="BF26" s="1134"/>
      <c r="BG26" s="1134"/>
      <c r="BH26" s="1134"/>
      <c r="BI26" s="1134"/>
      <c r="BJ26" s="1134"/>
      <c r="BK26" s="1134"/>
      <c r="BL26" s="1134"/>
      <c r="BM26" s="1134"/>
      <c r="BN26" s="1134"/>
      <c r="BO26" s="1134"/>
      <c r="BP26" s="1134"/>
      <c r="BQ26" s="1134"/>
      <c r="BR26" s="1134"/>
      <c r="BS26" s="1134"/>
      <c r="BT26" s="1135"/>
      <c r="BU26" s="1135"/>
      <c r="BV26" s="1135"/>
      <c r="BW26" s="1135"/>
      <c r="BX26" s="1135"/>
      <c r="BY26" s="1135"/>
      <c r="BZ26" s="1135"/>
      <c r="CA26" s="1135"/>
      <c r="CB26" s="1135"/>
      <c r="CC26" s="1135"/>
      <c r="CD26" s="1135"/>
      <c r="CE26" s="1135"/>
      <c r="CF26" s="1135"/>
      <c r="CG26" s="1135"/>
      <c r="CH26" s="1135"/>
      <c r="CI26" s="1135"/>
      <c r="CJ26" s="1135"/>
      <c r="CK26" s="1135"/>
      <c r="CL26" s="1134"/>
      <c r="CM26" s="1134"/>
      <c r="CN26" s="1134"/>
      <c r="CO26" s="1134"/>
      <c r="CP26" s="1134"/>
      <c r="CQ26" s="1134"/>
      <c r="CR26" s="1134"/>
      <c r="CS26" s="1134"/>
      <c r="CT26" s="1134"/>
      <c r="CU26" s="1134"/>
      <c r="CV26" s="1134"/>
      <c r="CW26" s="1134"/>
      <c r="CX26" s="1134"/>
      <c r="CY26" s="1135"/>
      <c r="CZ26" s="1135"/>
      <c r="DA26" s="1135"/>
      <c r="DB26" s="1135"/>
      <c r="DC26" s="1135"/>
      <c r="DD26" s="1135"/>
      <c r="DE26" s="1135"/>
      <c r="DF26" s="1135"/>
      <c r="DG26" s="1135"/>
      <c r="DH26" s="1135"/>
      <c r="DI26" s="1135"/>
      <c r="DJ26" s="1135"/>
      <c r="DK26" s="1134"/>
      <c r="DL26" s="1134"/>
      <c r="DM26" s="1134"/>
      <c r="DN26" s="1134"/>
      <c r="DO26" s="1134"/>
      <c r="DP26" s="1134"/>
      <c r="DQ26" s="1134"/>
      <c r="DR26" s="1134"/>
      <c r="DS26" s="1134"/>
      <c r="DT26" s="1134"/>
      <c r="DU26" s="1134"/>
      <c r="DV26" s="1134"/>
      <c r="DW26" s="1134"/>
      <c r="DX26" s="1134"/>
      <c r="DY26" s="1134"/>
      <c r="DZ26" s="1134"/>
      <c r="EA26" s="1134"/>
      <c r="EB26" s="1134"/>
      <c r="EC26" s="1134"/>
      <c r="ED26" s="1134"/>
      <c r="EE26" s="1134"/>
      <c r="EF26" s="1134"/>
      <c r="EG26" s="1134"/>
      <c r="EH26" s="1134"/>
      <c r="EI26" s="1134"/>
      <c r="EJ26" s="1134"/>
      <c r="EK26" s="1134"/>
      <c r="EL26" s="1134"/>
      <c r="EM26" s="1134"/>
      <c r="EN26" s="1134"/>
      <c r="EO26" s="1134"/>
      <c r="EP26" s="1134"/>
      <c r="EQ26" s="1134"/>
      <c r="ER26" s="1134"/>
      <c r="ES26" s="1134"/>
      <c r="ET26" s="1134"/>
      <c r="EU26" s="1134"/>
      <c r="EV26" s="1134"/>
      <c r="EW26" s="1134"/>
      <c r="EX26" s="1134"/>
      <c r="EY26" s="1134"/>
      <c r="EZ26" s="1134"/>
      <c r="FA26" s="1134"/>
      <c r="FB26" s="1134"/>
      <c r="FC26" s="1134"/>
      <c r="FD26" s="1134"/>
      <c r="FE26" s="1134"/>
      <c r="FF26" s="1134"/>
      <c r="FG26" s="1134"/>
      <c r="FH26" s="1134"/>
      <c r="FI26" s="1134"/>
      <c r="FJ26" s="1134"/>
      <c r="FK26" s="1134"/>
      <c r="FL26" s="1134"/>
      <c r="FM26" s="1134"/>
      <c r="FN26" s="1134"/>
      <c r="FO26" s="1134"/>
      <c r="FP26" s="1134"/>
      <c r="FQ26" s="1134"/>
      <c r="FR26" s="1134"/>
      <c r="FS26" s="1134"/>
      <c r="FT26" s="1134"/>
      <c r="FU26" s="1134"/>
      <c r="FV26" s="1134"/>
      <c r="FW26" s="1134"/>
      <c r="FX26" s="1125"/>
    </row>
    <row r="27" spans="1:185" s="853" customFormat="1" ht="24.75" customHeight="1">
      <c r="A27" s="853" t="s">
        <v>22</v>
      </c>
      <c r="B27" s="868"/>
      <c r="E27" s="619" t="s">
        <v>104</v>
      </c>
      <c r="F27" s="2029" t="s">
        <v>93</v>
      </c>
      <c r="G27" s="2042" t="s">
        <v>1313</v>
      </c>
      <c r="H27" s="1133" t="s">
        <v>68</v>
      </c>
      <c r="I27" s="1896" t="s">
        <v>1316</v>
      </c>
      <c r="J27" s="1134"/>
      <c r="K27" s="1134"/>
      <c r="L27" s="1134"/>
      <c r="M27" s="1134"/>
      <c r="N27" s="1134"/>
      <c r="O27" s="1135">
        <v>0</v>
      </c>
      <c r="P27" s="1135">
        <v>0</v>
      </c>
      <c r="Q27" s="1135"/>
      <c r="R27" s="1135"/>
      <c r="S27" s="1135"/>
      <c r="T27" s="1135"/>
      <c r="U27" s="1135">
        <v>3.26</v>
      </c>
      <c r="V27" s="1135">
        <v>3.0409999999999999</v>
      </c>
      <c r="W27" s="1135"/>
      <c r="X27" s="1135"/>
      <c r="Y27" s="1135">
        <v>369071</v>
      </c>
      <c r="Z27" s="1135">
        <v>369708</v>
      </c>
      <c r="AA27" s="1135"/>
      <c r="AB27" s="1135"/>
      <c r="AC27" s="1134"/>
      <c r="AD27" s="1134"/>
      <c r="AE27" s="1134"/>
      <c r="AF27" s="1134"/>
      <c r="AG27" s="1134"/>
      <c r="AH27" s="1134"/>
      <c r="AI27" s="1134"/>
      <c r="AJ27" s="1134"/>
      <c r="AK27" s="1134"/>
      <c r="AL27" s="1134"/>
      <c r="AM27" s="1134"/>
      <c r="AN27" s="1134"/>
      <c r="AO27" s="1134"/>
      <c r="AP27" s="1134"/>
      <c r="AQ27" s="1134"/>
      <c r="AR27" s="1134"/>
      <c r="AS27" s="1134"/>
      <c r="AT27" s="1134"/>
      <c r="AU27" s="1134"/>
      <c r="AV27" s="1134"/>
      <c r="AW27" s="1134"/>
      <c r="AX27" s="1134"/>
      <c r="AY27" s="1134"/>
      <c r="AZ27" s="1134"/>
      <c r="BA27" s="1134"/>
      <c r="BB27" s="1134"/>
      <c r="BC27" s="1134"/>
      <c r="BD27" s="1134"/>
      <c r="BE27" s="1134"/>
      <c r="BF27" s="1134"/>
      <c r="BG27" s="1134"/>
      <c r="BH27" s="1134"/>
      <c r="BI27" s="1134"/>
      <c r="BJ27" s="1134"/>
      <c r="BK27" s="1134"/>
      <c r="BL27" s="1134"/>
      <c r="BM27" s="1134"/>
      <c r="BN27" s="1134"/>
      <c r="BO27" s="1134"/>
      <c r="BP27" s="1134"/>
      <c r="BQ27" s="1134"/>
      <c r="BR27" s="1134"/>
      <c r="BS27" s="1134"/>
      <c r="BT27" s="1135"/>
      <c r="BU27" s="1135"/>
      <c r="BV27" s="1135"/>
      <c r="BW27" s="1135"/>
      <c r="BX27" s="1135"/>
      <c r="BY27" s="1135"/>
      <c r="BZ27" s="1135"/>
      <c r="CA27" s="1135"/>
      <c r="CB27" s="1135"/>
      <c r="CC27" s="1135"/>
      <c r="CD27" s="1135"/>
      <c r="CE27" s="1135"/>
      <c r="CF27" s="1135"/>
      <c r="CG27" s="1135"/>
      <c r="CH27" s="1135"/>
      <c r="CI27" s="1135"/>
      <c r="CJ27" s="1135"/>
      <c r="CK27" s="1135"/>
      <c r="CL27" s="1134"/>
      <c r="CM27" s="1134"/>
      <c r="CN27" s="1134"/>
      <c r="CO27" s="1134"/>
      <c r="CP27" s="1134"/>
      <c r="CQ27" s="1134"/>
      <c r="CR27" s="1134"/>
      <c r="CS27" s="1134"/>
      <c r="CT27" s="1134"/>
      <c r="CU27" s="1134"/>
      <c r="CV27" s="1134"/>
      <c r="CW27" s="1134"/>
      <c r="CX27" s="1134"/>
      <c r="CY27" s="1135"/>
      <c r="CZ27" s="1135"/>
      <c r="DA27" s="1135"/>
      <c r="DB27" s="1135"/>
      <c r="DC27" s="1135"/>
      <c r="DD27" s="1135"/>
      <c r="DE27" s="1135"/>
      <c r="DF27" s="1135"/>
      <c r="DG27" s="1135"/>
      <c r="DH27" s="1135"/>
      <c r="DI27" s="1135"/>
      <c r="DJ27" s="1135"/>
      <c r="DK27" s="1134"/>
      <c r="DL27" s="1134"/>
      <c r="DM27" s="1134"/>
      <c r="DN27" s="1134"/>
      <c r="DO27" s="1134"/>
      <c r="DP27" s="1134"/>
      <c r="DQ27" s="1134"/>
      <c r="DR27" s="1134"/>
      <c r="DS27" s="1134"/>
      <c r="DT27" s="1134"/>
      <c r="DU27" s="1134"/>
      <c r="DV27" s="1134"/>
      <c r="DW27" s="1134"/>
      <c r="DX27" s="1134"/>
      <c r="DY27" s="1134"/>
      <c r="DZ27" s="1134"/>
      <c r="EA27" s="1134"/>
      <c r="EB27" s="1134"/>
      <c r="EC27" s="1134"/>
      <c r="ED27" s="1134"/>
      <c r="EE27" s="1134"/>
      <c r="EF27" s="1134"/>
      <c r="EG27" s="1134"/>
      <c r="EH27" s="1134"/>
      <c r="EI27" s="1134"/>
      <c r="EJ27" s="1134"/>
      <c r="EK27" s="1134"/>
      <c r="EL27" s="1134"/>
      <c r="EM27" s="1134"/>
      <c r="EN27" s="1134"/>
      <c r="EO27" s="1134"/>
      <c r="EP27" s="1134"/>
      <c r="EQ27" s="1134"/>
      <c r="ER27" s="1134"/>
      <c r="ES27" s="1134"/>
      <c r="ET27" s="1134"/>
      <c r="EU27" s="1134"/>
      <c r="EV27" s="1134"/>
      <c r="EW27" s="1134"/>
      <c r="EX27" s="1134"/>
      <c r="EY27" s="1134"/>
      <c r="EZ27" s="1134"/>
      <c r="FA27" s="1134"/>
      <c r="FB27" s="1134"/>
      <c r="FC27" s="1134"/>
      <c r="FD27" s="1134"/>
      <c r="FE27" s="1134"/>
      <c r="FF27" s="1134"/>
      <c r="FG27" s="1134"/>
      <c r="FH27" s="1134"/>
      <c r="FI27" s="1134"/>
      <c r="FJ27" s="1134"/>
      <c r="FK27" s="1134"/>
      <c r="FL27" s="1134"/>
      <c r="FM27" s="1134"/>
      <c r="FN27" s="1134"/>
      <c r="FO27" s="1134"/>
      <c r="FP27" s="1134"/>
      <c r="FQ27" s="1134"/>
      <c r="FR27" s="1134"/>
      <c r="FS27" s="1134"/>
      <c r="FT27" s="1134"/>
      <c r="FU27" s="1134"/>
      <c r="FV27" s="1134"/>
      <c r="FW27" s="1134"/>
      <c r="FX27" s="1125"/>
    </row>
    <row r="28" spans="1:185" s="853" customFormat="1" ht="12" customHeight="1">
      <c r="A28" s="853" t="s">
        <v>1161</v>
      </c>
      <c r="B28" s="868"/>
      <c r="F28" s="2144"/>
      <c r="G28" s="2145" t="s">
        <v>1317</v>
      </c>
      <c r="H28" s="2146"/>
      <c r="I28" s="2147"/>
      <c r="J28" s="2148"/>
      <c r="K28" s="2149"/>
      <c r="L28" s="2150"/>
      <c r="M28" s="2151"/>
      <c r="N28" s="2152"/>
      <c r="O28" s="2153"/>
      <c r="P28" s="2154"/>
      <c r="Q28" s="2155"/>
      <c r="R28" s="2156"/>
      <c r="S28" s="2157"/>
      <c r="T28" s="2158"/>
      <c r="U28" s="2159"/>
      <c r="V28" s="2160"/>
      <c r="W28" s="2161"/>
      <c r="X28" s="2162"/>
      <c r="Y28" s="2163"/>
      <c r="Z28" s="2164"/>
      <c r="AA28" s="2165"/>
      <c r="AB28" s="2166"/>
      <c r="AC28" s="2167"/>
      <c r="AD28" s="2168"/>
      <c r="AE28" s="2169"/>
      <c r="AF28" s="2170"/>
      <c r="AG28" s="2171"/>
      <c r="AH28" s="2172"/>
      <c r="AI28" s="2173"/>
      <c r="AJ28" s="2174"/>
      <c r="AK28" s="2175"/>
      <c r="AL28" s="2176"/>
      <c r="AM28" s="2177"/>
      <c r="AN28" s="2178"/>
      <c r="AO28" s="2179"/>
      <c r="AP28" s="2180"/>
      <c r="AQ28" s="2181"/>
      <c r="AR28" s="2182"/>
      <c r="AS28" s="2183"/>
      <c r="AT28" s="2184"/>
      <c r="AU28" s="2185"/>
      <c r="AV28" s="2186"/>
      <c r="AW28" s="2187"/>
      <c r="AX28" s="2188"/>
      <c r="AY28" s="2189"/>
      <c r="AZ28" s="2190"/>
      <c r="BA28" s="2191"/>
      <c r="BB28" s="2192"/>
      <c r="BC28" s="2193"/>
      <c r="BD28" s="2194"/>
      <c r="BE28" s="2195"/>
      <c r="BF28" s="2196"/>
      <c r="BG28" s="2197"/>
      <c r="BH28" s="2198"/>
      <c r="BI28" s="2199"/>
      <c r="BJ28" s="2200"/>
      <c r="BK28" s="2201"/>
      <c r="BL28" s="2202"/>
      <c r="BM28" s="2203"/>
      <c r="BN28" s="2204"/>
      <c r="BO28" s="2205"/>
      <c r="BP28" s="2206"/>
      <c r="BQ28" s="2207"/>
      <c r="BR28" s="2208"/>
      <c r="BS28" s="2209"/>
      <c r="BT28" s="2210"/>
      <c r="BU28" s="2211"/>
      <c r="BV28" s="2212"/>
      <c r="BW28" s="2213"/>
      <c r="BX28" s="2214"/>
      <c r="BY28" s="2215"/>
      <c r="BZ28" s="2216"/>
      <c r="CA28" s="2217"/>
      <c r="CB28" s="2218"/>
      <c r="CC28" s="2219"/>
      <c r="CD28" s="2220"/>
      <c r="CE28" s="2221"/>
      <c r="CF28" s="2222"/>
      <c r="CG28" s="2223"/>
      <c r="CH28" s="2224"/>
      <c r="CI28" s="2225"/>
      <c r="CJ28" s="2226"/>
      <c r="CK28" s="2227"/>
      <c r="CL28" s="2228"/>
      <c r="CM28" s="2229"/>
      <c r="CN28" s="2230"/>
      <c r="CO28" s="2231"/>
      <c r="CP28" s="2232"/>
      <c r="CQ28" s="2233"/>
      <c r="CR28" s="2234"/>
      <c r="CS28" s="2235"/>
      <c r="CT28" s="2236"/>
      <c r="CU28" s="2237"/>
      <c r="CV28" s="2238"/>
      <c r="CW28" s="2239"/>
      <c r="CX28" s="2240"/>
      <c r="CY28" s="2241"/>
      <c r="CZ28" s="2242"/>
      <c r="DA28" s="2243"/>
      <c r="DB28" s="2244"/>
      <c r="DC28" s="2245"/>
      <c r="DD28" s="2246"/>
      <c r="DE28" s="2247"/>
      <c r="DF28" s="2248"/>
      <c r="DG28" s="2249"/>
      <c r="DH28" s="2250"/>
      <c r="DI28" s="2251"/>
      <c r="DJ28" s="2252"/>
      <c r="DK28" s="2253"/>
      <c r="DL28" s="2254"/>
      <c r="DM28" s="2255"/>
      <c r="DN28" s="2256"/>
      <c r="DO28" s="2257"/>
      <c r="DP28" s="2258"/>
      <c r="DQ28" s="2259"/>
      <c r="DR28" s="2260"/>
      <c r="DS28" s="2261"/>
      <c r="DT28" s="2262"/>
      <c r="DU28" s="2263"/>
      <c r="DV28" s="2264"/>
      <c r="DW28" s="2265"/>
      <c r="DX28" s="2266"/>
      <c r="DY28" s="2267"/>
      <c r="DZ28" s="2268"/>
      <c r="EA28" s="2269"/>
      <c r="EB28" s="2270"/>
      <c r="EC28" s="2271"/>
      <c r="ED28" s="2272"/>
      <c r="EE28" s="2273"/>
      <c r="EF28" s="2274"/>
      <c r="EG28" s="2275"/>
      <c r="EH28" s="2276"/>
      <c r="EI28" s="2277"/>
      <c r="EJ28" s="2278"/>
      <c r="EK28" s="2279"/>
      <c r="EL28" s="2280"/>
      <c r="EM28" s="2281"/>
      <c r="EN28" s="2282"/>
      <c r="EO28" s="2283"/>
      <c r="EP28" s="2284"/>
      <c r="EQ28" s="2285"/>
      <c r="ER28" s="2286"/>
      <c r="ES28" s="2287"/>
      <c r="ET28" s="2288"/>
      <c r="EU28" s="2289"/>
      <c r="EV28" s="2290"/>
      <c r="EW28" s="2291"/>
      <c r="EX28" s="2292"/>
      <c r="EY28" s="2293"/>
      <c r="EZ28" s="2294"/>
      <c r="FA28" s="2295"/>
      <c r="FB28" s="2296"/>
      <c r="FC28" s="2297"/>
      <c r="FD28" s="2298"/>
      <c r="FE28" s="2299"/>
      <c r="FF28" s="2300"/>
      <c r="FG28" s="2301"/>
      <c r="FH28" s="2302"/>
      <c r="FI28" s="2303"/>
      <c r="FJ28" s="2304"/>
      <c r="FK28" s="2305"/>
      <c r="FL28" s="2306"/>
      <c r="FM28" s="2307"/>
      <c r="FN28" s="2308"/>
      <c r="FO28" s="2309"/>
      <c r="FP28" s="2310"/>
      <c r="FQ28" s="2311"/>
      <c r="FR28" s="2312"/>
      <c r="FS28" s="2313"/>
      <c r="FT28" s="2314"/>
      <c r="FU28" s="2315"/>
      <c r="FV28" s="2316"/>
      <c r="FW28" s="2317"/>
      <c r="FX28" s="1742"/>
      <c r="FY28" s="989"/>
      <c r="FZ28" s="989"/>
      <c r="GA28" s="989"/>
      <c r="GB28" s="989"/>
    </row>
    <row r="29" spans="1:185" s="853" customFormat="1" ht="12.75" customHeight="1">
      <c r="A29" s="869"/>
      <c r="B29" s="869"/>
      <c r="C29" s="869"/>
      <c r="D29" s="869"/>
      <c r="E29" s="869"/>
      <c r="F29" s="867"/>
      <c r="G29" s="867"/>
      <c r="H29" s="867"/>
      <c r="I29" s="867"/>
      <c r="J29" s="867"/>
      <c r="K29" s="867"/>
      <c r="L29" s="867"/>
      <c r="M29" s="867"/>
      <c r="N29" s="867"/>
      <c r="O29" s="867"/>
      <c r="P29" s="867"/>
      <c r="Q29" s="867"/>
      <c r="R29" s="867"/>
      <c r="S29" s="870"/>
      <c r="T29" s="870"/>
      <c r="U29" s="867"/>
      <c r="V29" s="867"/>
      <c r="W29" s="867"/>
      <c r="X29" s="867"/>
      <c r="Y29" s="867"/>
      <c r="Z29" s="867"/>
      <c r="AA29" s="867"/>
      <c r="AB29" s="867"/>
      <c r="AC29" s="867"/>
      <c r="AD29" s="867"/>
      <c r="AE29" s="867"/>
      <c r="AF29" s="867"/>
      <c r="AG29" s="867"/>
      <c r="AH29" s="867"/>
      <c r="AI29" s="867"/>
      <c r="AJ29" s="867"/>
      <c r="AK29" s="867"/>
      <c r="AL29" s="867"/>
      <c r="AM29" s="867"/>
      <c r="AN29" s="867"/>
      <c r="AO29" s="867"/>
      <c r="AP29" s="867"/>
      <c r="AQ29" s="867"/>
      <c r="AR29" s="867"/>
      <c r="AS29" s="867"/>
      <c r="AT29" s="867"/>
      <c r="AU29" s="867"/>
      <c r="AV29" s="867"/>
      <c r="AW29" s="867"/>
      <c r="AX29" s="867"/>
      <c r="AY29" s="867"/>
      <c r="AZ29" s="867"/>
      <c r="BA29" s="867"/>
      <c r="BB29" s="867"/>
      <c r="BC29" s="867"/>
      <c r="BD29" s="867"/>
      <c r="BE29" s="867"/>
      <c r="BF29" s="867"/>
      <c r="BG29" s="867"/>
      <c r="BH29" s="867"/>
      <c r="BI29" s="867"/>
      <c r="BJ29" s="867"/>
      <c r="BK29" s="867"/>
      <c r="BL29" s="867"/>
      <c r="BM29" s="867"/>
      <c r="BN29" s="867"/>
      <c r="BO29" s="867"/>
      <c r="BP29" s="867"/>
      <c r="BQ29" s="867"/>
      <c r="BR29" s="867"/>
      <c r="BS29" s="867"/>
      <c r="BT29" s="867"/>
      <c r="BU29" s="867"/>
      <c r="BV29" s="867"/>
      <c r="BW29" s="867"/>
      <c r="BX29" s="867"/>
      <c r="BY29" s="867"/>
      <c r="BZ29" s="867"/>
      <c r="CA29" s="867"/>
      <c r="CB29" s="867"/>
      <c r="CC29" s="867"/>
      <c r="CD29" s="867"/>
      <c r="CE29" s="867"/>
      <c r="CF29" s="867"/>
      <c r="CG29" s="867"/>
      <c r="CH29" s="867"/>
      <c r="CI29" s="867"/>
      <c r="CJ29" s="867"/>
      <c r="CK29" s="867"/>
      <c r="CL29" s="867"/>
      <c r="CM29" s="867"/>
      <c r="CN29" s="867"/>
      <c r="CO29" s="867"/>
      <c r="CP29" s="867"/>
      <c r="CQ29" s="867"/>
      <c r="CR29" s="867"/>
      <c r="CS29" s="867"/>
      <c r="CT29" s="867"/>
      <c r="CU29" s="867"/>
      <c r="CV29" s="867"/>
      <c r="CW29" s="867"/>
      <c r="CX29" s="867"/>
      <c r="CY29" s="867"/>
      <c r="CZ29" s="867"/>
      <c r="DA29" s="867"/>
      <c r="DB29" s="867"/>
      <c r="DC29" s="867"/>
      <c r="DD29" s="867"/>
      <c r="DE29" s="867"/>
      <c r="DF29" s="867"/>
      <c r="DG29" s="867"/>
      <c r="DH29" s="867"/>
      <c r="DI29" s="867"/>
      <c r="DJ29" s="867"/>
      <c r="DK29" s="867"/>
      <c r="DL29" s="867"/>
      <c r="DM29" s="867"/>
      <c r="DN29" s="867"/>
      <c r="DO29" s="867"/>
      <c r="DP29" s="867"/>
      <c r="DQ29" s="867"/>
      <c r="DR29" s="867"/>
      <c r="DS29" s="867"/>
      <c r="DT29" s="867"/>
      <c r="DU29" s="867"/>
      <c r="DV29" s="867"/>
      <c r="DW29" s="867"/>
      <c r="DX29" s="867"/>
      <c r="DY29" s="867"/>
      <c r="DZ29" s="867"/>
      <c r="EA29" s="867"/>
      <c r="EB29" s="867"/>
      <c r="EC29" s="867"/>
      <c r="ED29" s="867"/>
      <c r="EE29" s="867"/>
      <c r="EF29" s="867"/>
      <c r="EG29" s="867"/>
      <c r="EH29" s="867"/>
      <c r="EI29" s="867"/>
      <c r="EJ29" s="867"/>
      <c r="EK29" s="867"/>
      <c r="EL29" s="867"/>
      <c r="EM29" s="867"/>
      <c r="EN29" s="867"/>
      <c r="EO29" s="867"/>
      <c r="EP29" s="867"/>
      <c r="EQ29" s="867"/>
      <c r="ER29" s="867"/>
      <c r="ES29" s="867"/>
      <c r="ET29" s="867"/>
      <c r="EU29" s="867"/>
      <c r="EV29" s="867"/>
      <c r="EW29" s="867"/>
      <c r="EX29" s="867"/>
      <c r="EY29" s="867"/>
      <c r="EZ29" s="867"/>
      <c r="FA29" s="867"/>
      <c r="FB29" s="867"/>
      <c r="FC29" s="867"/>
      <c r="FD29" s="867"/>
      <c r="FE29" s="867"/>
      <c r="FF29" s="867"/>
      <c r="FG29" s="867"/>
      <c r="FH29" s="867"/>
      <c r="FI29" s="867"/>
      <c r="FJ29" s="867"/>
      <c r="FK29" s="867"/>
      <c r="FL29" s="867"/>
      <c r="FM29" s="867"/>
      <c r="FN29" s="867"/>
      <c r="FO29" s="867"/>
      <c r="FP29" s="867"/>
      <c r="FQ29" s="867"/>
      <c r="FR29" s="867"/>
      <c r="FS29" s="867"/>
      <c r="FT29" s="867"/>
      <c r="FU29" s="867"/>
      <c r="FV29" s="867"/>
      <c r="FW29" s="867"/>
      <c r="FX29" s="869"/>
      <c r="FY29" s="869"/>
      <c r="FZ29" s="869"/>
      <c r="GA29" s="869"/>
      <c r="GB29" s="869"/>
      <c r="GC29" s="850">
        <v>12</v>
      </c>
    </row>
    <row r="30" spans="1:185" s="853" customFormat="1" ht="12.75" customHeight="1">
      <c r="A30" s="869"/>
      <c r="B30" s="869"/>
      <c r="C30" s="869"/>
      <c r="D30" s="869"/>
      <c r="E30" s="869"/>
      <c r="FX30" s="869"/>
      <c r="FY30" s="869"/>
      <c r="FZ30" s="869"/>
      <c r="GA30" s="869"/>
      <c r="GB30" s="869"/>
      <c r="GC30" s="850">
        <v>12</v>
      </c>
    </row>
    <row r="31" spans="1:185" s="990" customFormat="1" ht="12.75" customHeight="1">
      <c r="A31" s="989"/>
      <c r="B31" s="989"/>
      <c r="C31" s="989"/>
      <c r="D31" s="989"/>
      <c r="E31" s="989"/>
      <c r="O31" s="991"/>
      <c r="P31" s="991"/>
      <c r="Q31" s="991"/>
      <c r="R31" s="991"/>
      <c r="S31" s="991"/>
      <c r="T31" s="991"/>
      <c r="U31" s="991"/>
      <c r="V31" s="991"/>
      <c r="W31" s="991"/>
      <c r="X31" s="991"/>
      <c r="Y31" s="991"/>
      <c r="Z31" s="991"/>
      <c r="AA31" s="991"/>
      <c r="AB31" s="991"/>
      <c r="AC31" s="991"/>
      <c r="AD31" s="991"/>
      <c r="AE31" s="991"/>
      <c r="AF31" s="991"/>
      <c r="AG31" s="991"/>
      <c r="AH31" s="991"/>
      <c r="AI31" s="991"/>
      <c r="AJ31" s="991"/>
      <c r="AK31" s="991"/>
      <c r="AL31" s="991"/>
      <c r="AM31" s="991"/>
      <c r="AN31" s="991"/>
      <c r="AO31" s="991"/>
      <c r="AP31" s="991"/>
      <c r="AQ31" s="991"/>
      <c r="AR31" s="991"/>
      <c r="AS31" s="991"/>
      <c r="AT31" s="991"/>
      <c r="AU31" s="991"/>
      <c r="AV31" s="991"/>
      <c r="AW31" s="991"/>
      <c r="AX31" s="991"/>
      <c r="AY31" s="991"/>
      <c r="AZ31" s="991"/>
      <c r="BA31" s="991"/>
      <c r="BB31" s="991"/>
      <c r="BC31" s="991"/>
      <c r="BD31" s="991"/>
      <c r="BE31" s="991"/>
      <c r="BF31" s="991"/>
      <c r="BG31" s="991"/>
      <c r="BH31" s="991"/>
      <c r="BI31" s="991"/>
      <c r="BJ31" s="991"/>
      <c r="BK31" s="991"/>
      <c r="BL31" s="991"/>
      <c r="BM31" s="991"/>
      <c r="BN31" s="991"/>
      <c r="BO31" s="991"/>
      <c r="BP31" s="991"/>
      <c r="BQ31" s="991"/>
      <c r="BR31" s="991"/>
      <c r="BS31" s="991"/>
      <c r="BT31" s="992"/>
      <c r="BU31" s="992"/>
      <c r="BV31" s="992"/>
      <c r="BW31" s="992"/>
      <c r="BX31" s="992"/>
      <c r="BY31" s="992"/>
      <c r="BZ31" s="992"/>
      <c r="CA31" s="992"/>
      <c r="CB31" s="992"/>
      <c r="CC31" s="992"/>
      <c r="CD31" s="992"/>
      <c r="CE31" s="992"/>
      <c r="CF31" s="992"/>
      <c r="CG31" s="992"/>
      <c r="CH31" s="992"/>
      <c r="CI31" s="992"/>
      <c r="CJ31" s="992"/>
      <c r="CK31" s="992"/>
      <c r="CL31" s="992"/>
      <c r="CM31" s="992"/>
      <c r="CN31" s="992"/>
      <c r="CO31" s="992"/>
      <c r="CP31" s="992"/>
      <c r="CQ31" s="992"/>
      <c r="CR31" s="992"/>
      <c r="CS31" s="992"/>
      <c r="CT31" s="992"/>
      <c r="CU31" s="992"/>
      <c r="CV31" s="992"/>
      <c r="CW31" s="992"/>
      <c r="CX31" s="992"/>
      <c r="CY31" s="992"/>
      <c r="CZ31" s="992"/>
      <c r="DA31" s="992"/>
      <c r="DB31" s="992"/>
      <c r="DC31" s="992"/>
      <c r="DD31" s="992"/>
      <c r="DE31" s="992"/>
      <c r="DF31" s="992"/>
      <c r="DG31" s="992"/>
      <c r="DH31" s="992"/>
      <c r="DI31" s="992"/>
      <c r="DJ31" s="992"/>
      <c r="DK31" s="992"/>
      <c r="DL31" s="992"/>
      <c r="DM31" s="992"/>
      <c r="DN31" s="992"/>
      <c r="DO31" s="992"/>
      <c r="DP31" s="992"/>
      <c r="DQ31" s="992"/>
      <c r="DR31" s="992"/>
      <c r="DS31" s="992"/>
      <c r="DT31" s="992"/>
      <c r="DU31" s="992"/>
      <c r="DV31" s="992"/>
      <c r="DW31" s="992"/>
      <c r="DX31" s="992"/>
      <c r="FX31" s="989"/>
      <c r="FY31" s="989"/>
      <c r="FZ31" s="989"/>
      <c r="GA31" s="989"/>
      <c r="GB31" s="989"/>
      <c r="GC31" s="990">
        <v>12</v>
      </c>
    </row>
    <row r="32" spans="1:185" ht="12.75" customHeight="1">
      <c r="S32" s="866"/>
      <c r="T32" s="866"/>
      <c r="U32" s="866"/>
      <c r="V32" s="866"/>
      <c r="W32" s="866"/>
      <c r="X32" s="866"/>
      <c r="Y32" s="866"/>
      <c r="Z32" s="866"/>
      <c r="AA32" s="866"/>
      <c r="AB32" s="866"/>
      <c r="FX32" s="866"/>
      <c r="FY32" s="866"/>
      <c r="FZ32" s="866"/>
      <c r="GA32" s="866"/>
      <c r="GB32" s="866"/>
      <c r="GC32" s="854">
        <v>12</v>
      </c>
    </row>
    <row r="33" spans="1:185" ht="12" hidden="1" customHeight="1">
      <c r="A33" s="854" t="s">
        <v>83</v>
      </c>
      <c r="B33" s="864">
        <v>0</v>
      </c>
      <c r="C33" s="854">
        <v>0</v>
      </c>
      <c r="D33" s="854">
        <v>0</v>
      </c>
      <c r="E33" s="854">
        <v>3</v>
      </c>
      <c r="F33" s="854">
        <v>6</v>
      </c>
      <c r="G33" s="854">
        <v>18</v>
      </c>
      <c r="H33" s="854">
        <v>27</v>
      </c>
      <c r="I33" s="854">
        <v>18</v>
      </c>
      <c r="J33" s="854">
        <v>0</v>
      </c>
      <c r="K33" s="854">
        <v>0</v>
      </c>
      <c r="L33" s="854">
        <v>0</v>
      </c>
      <c r="M33" s="854">
        <v>0</v>
      </c>
      <c r="N33" s="854">
        <v>0</v>
      </c>
      <c r="O33" s="854">
        <v>0</v>
      </c>
      <c r="P33" s="854">
        <v>0</v>
      </c>
      <c r="Q33" s="854">
        <v>0</v>
      </c>
      <c r="R33" s="854">
        <v>0</v>
      </c>
      <c r="S33" s="854">
        <v>0</v>
      </c>
      <c r="T33" s="854">
        <v>0</v>
      </c>
      <c r="U33" s="854">
        <v>0</v>
      </c>
      <c r="V33" s="854">
        <v>0</v>
      </c>
      <c r="W33" s="854">
        <v>0</v>
      </c>
      <c r="X33" s="854">
        <v>0</v>
      </c>
      <c r="Y33" s="854">
        <v>0</v>
      </c>
      <c r="Z33" s="854">
        <v>0</v>
      </c>
      <c r="AA33" s="854">
        <v>0</v>
      </c>
      <c r="AB33" s="854">
        <v>0</v>
      </c>
      <c r="AC33" s="854">
        <v>0</v>
      </c>
      <c r="AD33" s="854">
        <v>0</v>
      </c>
      <c r="AE33" s="854">
        <v>0</v>
      </c>
      <c r="AF33" s="854">
        <v>0</v>
      </c>
      <c r="AG33" s="854">
        <v>0</v>
      </c>
      <c r="AH33" s="854">
        <v>0</v>
      </c>
      <c r="AI33" s="854">
        <v>0</v>
      </c>
      <c r="AJ33" s="854">
        <v>0</v>
      </c>
      <c r="AK33" s="854">
        <v>0</v>
      </c>
      <c r="AL33" s="854">
        <v>0</v>
      </c>
      <c r="AM33" s="854">
        <v>0</v>
      </c>
      <c r="AN33" s="854">
        <v>0</v>
      </c>
      <c r="AO33" s="854">
        <v>0</v>
      </c>
      <c r="AP33" s="854">
        <v>0</v>
      </c>
      <c r="AQ33" s="854">
        <v>0</v>
      </c>
      <c r="AR33" s="854">
        <v>0</v>
      </c>
      <c r="AS33" s="854">
        <v>0</v>
      </c>
      <c r="AT33" s="854">
        <v>0</v>
      </c>
      <c r="AU33" s="854">
        <v>0</v>
      </c>
      <c r="AV33" s="854">
        <v>0</v>
      </c>
      <c r="AW33" s="854">
        <v>0</v>
      </c>
      <c r="AX33" s="854">
        <v>0</v>
      </c>
      <c r="AY33" s="854">
        <v>0</v>
      </c>
      <c r="AZ33" s="854">
        <v>0</v>
      </c>
      <c r="BA33" s="854">
        <v>0</v>
      </c>
      <c r="BB33" s="854">
        <v>0</v>
      </c>
      <c r="BC33" s="854">
        <v>0</v>
      </c>
      <c r="BD33" s="854">
        <v>0</v>
      </c>
      <c r="BE33" s="854">
        <v>0</v>
      </c>
      <c r="BF33" s="854">
        <v>0</v>
      </c>
      <c r="BG33" s="854">
        <v>0</v>
      </c>
      <c r="BH33" s="854">
        <v>0</v>
      </c>
      <c r="BI33" s="854">
        <v>0</v>
      </c>
      <c r="BJ33" s="854">
        <v>0</v>
      </c>
      <c r="BK33" s="854">
        <v>0</v>
      </c>
      <c r="BL33" s="854">
        <v>0</v>
      </c>
      <c r="BM33" s="854">
        <v>0</v>
      </c>
      <c r="BN33" s="854">
        <v>0</v>
      </c>
      <c r="BO33" s="854">
        <v>0</v>
      </c>
      <c r="BP33" s="854">
        <v>0</v>
      </c>
      <c r="BQ33" s="854">
        <v>0</v>
      </c>
      <c r="BR33" s="854">
        <v>0</v>
      </c>
      <c r="BS33" s="854">
        <v>0</v>
      </c>
      <c r="BT33" s="854">
        <v>0</v>
      </c>
      <c r="BU33" s="854">
        <v>0</v>
      </c>
      <c r="BV33" s="854">
        <v>0</v>
      </c>
      <c r="BW33" s="854">
        <v>0</v>
      </c>
      <c r="BX33" s="854">
        <v>0</v>
      </c>
      <c r="BY33" s="854">
        <v>0</v>
      </c>
      <c r="BZ33" s="854">
        <v>0</v>
      </c>
      <c r="CA33" s="854">
        <v>0</v>
      </c>
      <c r="CB33" s="854">
        <v>0</v>
      </c>
      <c r="CC33" s="854">
        <v>0</v>
      </c>
      <c r="CD33" s="854">
        <v>0</v>
      </c>
      <c r="CE33" s="854">
        <v>0</v>
      </c>
      <c r="CF33" s="854">
        <v>0</v>
      </c>
      <c r="CG33" s="854">
        <v>0</v>
      </c>
      <c r="CH33" s="854">
        <v>0</v>
      </c>
      <c r="CI33" s="854">
        <v>0</v>
      </c>
      <c r="CJ33" s="854">
        <v>0</v>
      </c>
      <c r="CK33" s="854">
        <v>0</v>
      </c>
      <c r="CL33" s="854">
        <v>0</v>
      </c>
      <c r="CM33" s="854">
        <v>0</v>
      </c>
      <c r="CN33" s="854">
        <v>0</v>
      </c>
      <c r="CO33" s="854">
        <v>0</v>
      </c>
      <c r="CP33" s="854">
        <v>0</v>
      </c>
      <c r="CQ33" s="854">
        <v>0</v>
      </c>
      <c r="CR33" s="854">
        <v>0</v>
      </c>
      <c r="CS33" s="854">
        <v>0</v>
      </c>
      <c r="CT33" s="854">
        <v>0</v>
      </c>
      <c r="CU33" s="854">
        <v>0</v>
      </c>
      <c r="CV33" s="854">
        <v>0</v>
      </c>
      <c r="CW33" s="854">
        <v>0</v>
      </c>
      <c r="CX33" s="854">
        <v>0</v>
      </c>
      <c r="CY33" s="854">
        <v>0</v>
      </c>
      <c r="CZ33" s="854">
        <v>0</v>
      </c>
      <c r="DA33" s="854">
        <v>0</v>
      </c>
      <c r="DB33" s="854">
        <v>0</v>
      </c>
      <c r="DC33" s="854">
        <v>0</v>
      </c>
      <c r="DD33" s="854">
        <v>0</v>
      </c>
      <c r="DE33" s="854">
        <v>0</v>
      </c>
      <c r="DF33" s="854">
        <v>0</v>
      </c>
      <c r="DG33" s="854">
        <v>0</v>
      </c>
      <c r="DH33" s="854">
        <v>0</v>
      </c>
      <c r="DI33" s="854">
        <v>0</v>
      </c>
      <c r="DJ33" s="854">
        <v>0</v>
      </c>
      <c r="DK33" s="854">
        <v>0</v>
      </c>
      <c r="DL33" s="854">
        <v>0</v>
      </c>
      <c r="DM33" s="854">
        <v>0</v>
      </c>
      <c r="DN33" s="854">
        <v>0</v>
      </c>
      <c r="DO33" s="854">
        <v>0</v>
      </c>
      <c r="DP33" s="854">
        <v>0</v>
      </c>
      <c r="DQ33" s="854">
        <v>0</v>
      </c>
      <c r="DR33" s="854">
        <v>0</v>
      </c>
      <c r="DS33" s="854">
        <v>0</v>
      </c>
      <c r="DT33" s="854">
        <v>0</v>
      </c>
      <c r="DU33" s="854">
        <v>0</v>
      </c>
      <c r="DV33" s="854">
        <v>0</v>
      </c>
      <c r="DW33" s="854">
        <v>0</v>
      </c>
      <c r="DX33" s="854">
        <v>0</v>
      </c>
      <c r="DY33" s="854">
        <v>0</v>
      </c>
      <c r="DZ33" s="854">
        <v>0</v>
      </c>
      <c r="EA33" s="854">
        <v>0</v>
      </c>
      <c r="EB33" s="854">
        <v>0</v>
      </c>
      <c r="EC33" s="854">
        <v>0</v>
      </c>
      <c r="ED33" s="854">
        <v>0</v>
      </c>
      <c r="EE33" s="854">
        <v>0</v>
      </c>
      <c r="EF33" s="854">
        <v>0</v>
      </c>
      <c r="EG33" s="854">
        <v>0</v>
      </c>
      <c r="EH33" s="854">
        <v>0</v>
      </c>
      <c r="EI33" s="854">
        <v>0</v>
      </c>
      <c r="EJ33" s="854">
        <v>0</v>
      </c>
      <c r="EK33" s="854">
        <v>0</v>
      </c>
      <c r="EL33" s="854">
        <v>0</v>
      </c>
      <c r="EM33" s="854">
        <v>0</v>
      </c>
      <c r="EN33" s="854">
        <v>0</v>
      </c>
      <c r="EO33" s="854">
        <v>0</v>
      </c>
      <c r="EP33" s="854">
        <v>0</v>
      </c>
      <c r="EQ33" s="854">
        <v>0</v>
      </c>
      <c r="ER33" s="854">
        <v>0</v>
      </c>
      <c r="ES33" s="854">
        <v>0</v>
      </c>
      <c r="ET33" s="854">
        <v>0</v>
      </c>
      <c r="EU33" s="854">
        <v>0</v>
      </c>
      <c r="EV33" s="854">
        <v>0</v>
      </c>
      <c r="EW33" s="854">
        <v>0</v>
      </c>
      <c r="EX33" s="854">
        <v>0</v>
      </c>
      <c r="EY33" s="854">
        <v>0</v>
      </c>
      <c r="EZ33" s="854">
        <v>0</v>
      </c>
      <c r="FA33" s="854">
        <v>0</v>
      </c>
      <c r="FB33" s="854">
        <v>0</v>
      </c>
      <c r="FC33" s="854">
        <v>0</v>
      </c>
      <c r="FD33" s="854">
        <v>0</v>
      </c>
      <c r="FE33" s="854">
        <v>0</v>
      </c>
      <c r="FF33" s="854">
        <v>0</v>
      </c>
      <c r="FG33" s="854">
        <v>0</v>
      </c>
      <c r="FH33" s="854">
        <v>0</v>
      </c>
      <c r="FI33" s="854">
        <v>0</v>
      </c>
      <c r="FJ33" s="854">
        <v>0</v>
      </c>
      <c r="FK33" s="854">
        <v>0</v>
      </c>
      <c r="FL33" s="854">
        <v>0</v>
      </c>
      <c r="FM33" s="854">
        <v>0</v>
      </c>
      <c r="FN33" s="854">
        <v>0</v>
      </c>
      <c r="FO33" s="854">
        <v>0</v>
      </c>
      <c r="FP33" s="854">
        <v>0</v>
      </c>
      <c r="FQ33" s="854">
        <v>0</v>
      </c>
      <c r="FR33" s="854">
        <v>0</v>
      </c>
      <c r="FS33" s="854">
        <v>0</v>
      </c>
      <c r="FT33" s="854">
        <v>0</v>
      </c>
      <c r="FU33" s="854">
        <v>0</v>
      </c>
      <c r="FV33" s="854">
        <v>0</v>
      </c>
      <c r="FW33" s="854">
        <v>0</v>
      </c>
      <c r="FX33" s="854">
        <v>8</v>
      </c>
      <c r="FY33" s="854">
        <v>8</v>
      </c>
      <c r="FZ33" s="854">
        <v>8</v>
      </c>
      <c r="GA33" s="854">
        <v>8</v>
      </c>
      <c r="GB33" s="854">
        <v>8</v>
      </c>
      <c r="GC33" s="854">
        <v>12</v>
      </c>
    </row>
  </sheetData>
  <sheetProtection formatColumns="0" formatRows="0" insertRows="0" deleteColumns="0" deleteRows="0" sort="0" autoFilter="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277">
    <dataValidation type="decimal" allowBlank="1" showErrorMessage="1" errorTitle="Ошибка" error="Допускается ввод только действительных чисел!" sqref="DJ27">
      <formula1>-9.99999999999999E+23</formula1>
      <formula2>9.99999999999999E+23</formula2>
    </dataValidation>
    <dataValidation type="decimal" allowBlank="1" showErrorMessage="1" errorTitle="Ошибка" error="Допускается ввод только действительных чисел!" sqref="DI27">
      <formula1>-9.99999999999999E+23</formula1>
      <formula2>9.99999999999999E+23</formula2>
    </dataValidation>
    <dataValidation type="decimal" allowBlank="1" showErrorMessage="1" errorTitle="Ошибка" error="Допускается ввод только действительных чисел!" sqref="DH27">
      <formula1>-9.99999999999999E+23</formula1>
      <formula2>9.99999999999999E+23</formula2>
    </dataValidation>
    <dataValidation type="decimal" allowBlank="1" showErrorMessage="1" errorTitle="Ошибка" error="Допускается ввод только действительных чисел!" sqref="DG27">
      <formula1>-9.99999999999999E+23</formula1>
      <formula2>9.99999999999999E+23</formula2>
    </dataValidation>
    <dataValidation type="decimal" allowBlank="1" showErrorMessage="1" errorTitle="Ошибка" error="Допускается ввод только действительных чисел!" sqref="DF27">
      <formula1>-9.99999999999999E+23</formula1>
      <formula2>9.99999999999999E+23</formula2>
    </dataValidation>
    <dataValidation type="decimal" allowBlank="1" showErrorMessage="1" errorTitle="Ошибка" error="Допускается ввод только действительных чисел!" sqref="DE27">
      <formula1>-9.99999999999999E+23</formula1>
      <formula2>9.99999999999999E+23</formula2>
    </dataValidation>
    <dataValidation type="decimal" allowBlank="1" showErrorMessage="1" errorTitle="Ошибка" error="Допускается ввод только действительных чисел!" sqref="DD27">
      <formula1>-9.99999999999999E+23</formula1>
      <formula2>9.99999999999999E+23</formula2>
    </dataValidation>
    <dataValidation type="decimal" allowBlank="1" showErrorMessage="1" errorTitle="Ошибка" error="Допускается ввод только действительных чисел!" sqref="DC27">
      <formula1>-9.99999999999999E+23</formula1>
      <formula2>9.99999999999999E+23</formula2>
    </dataValidation>
    <dataValidation type="decimal" allowBlank="1" showErrorMessage="1" errorTitle="Ошибка" error="Допускается ввод только действительных чисел!" sqref="DB27">
      <formula1>-9.99999999999999E+23</formula1>
      <formula2>9.99999999999999E+23</formula2>
    </dataValidation>
    <dataValidation type="decimal" allowBlank="1" showErrorMessage="1" errorTitle="Ошибка" error="Допускается ввод только действительных чисел!" sqref="DA27">
      <formula1>-9.99999999999999E+23</formula1>
      <formula2>9.99999999999999E+23</formula2>
    </dataValidation>
    <dataValidation type="decimal" allowBlank="1" showErrorMessage="1" errorTitle="Ошибка" error="Допускается ввод только действительных чисел!" sqref="CZ27">
      <formula1>-9.99999999999999E+23</formula1>
      <formula2>9.99999999999999E+23</formula2>
    </dataValidation>
    <dataValidation type="decimal" allowBlank="1" showErrorMessage="1" errorTitle="Ошибка" error="Допускается ввод только действительных чисел!" sqref="CY27">
      <formula1>-9.99999999999999E+23</formula1>
      <formula2>9.99999999999999E+23</formula2>
    </dataValidation>
    <dataValidation type="decimal" allowBlank="1" showErrorMessage="1" errorTitle="Ошибка" error="Допускается ввод только действительных чисел!" sqref="CK27">
      <formula1>-9.99999999999999E+23</formula1>
      <formula2>9.99999999999999E+23</formula2>
    </dataValidation>
    <dataValidation type="decimal" allowBlank="1" showErrorMessage="1" errorTitle="Ошибка" error="Допускается ввод только действительных чисел!" sqref="CJ27">
      <formula1>-9.99999999999999E+23</formula1>
      <formula2>9.99999999999999E+23</formula2>
    </dataValidation>
    <dataValidation type="decimal" allowBlank="1" showErrorMessage="1" errorTitle="Ошибка" error="Допускается ввод только действительных чисел!" sqref="CI27">
      <formula1>-9.99999999999999E+23</formula1>
      <formula2>9.99999999999999E+23</formula2>
    </dataValidation>
    <dataValidation type="decimal" allowBlank="1" showErrorMessage="1" errorTitle="Ошибка" error="Допускается ввод только действительных чисел!" sqref="CH27">
      <formula1>-9.99999999999999E+23</formula1>
      <formula2>9.99999999999999E+23</formula2>
    </dataValidation>
    <dataValidation type="decimal" allowBlank="1" showErrorMessage="1" errorTitle="Ошибка" error="Допускается ввод только действительных чисел!" sqref="CG27">
      <formula1>-9.99999999999999E+23</formula1>
      <formula2>9.99999999999999E+23</formula2>
    </dataValidation>
    <dataValidation type="decimal" allowBlank="1" showErrorMessage="1" errorTitle="Ошибка" error="Допускается ввод только действительных чисел!" sqref="CF27">
      <formula1>-9.99999999999999E+23</formula1>
      <formula2>9.99999999999999E+23</formula2>
    </dataValidation>
    <dataValidation type="decimal" allowBlank="1" showErrorMessage="1" errorTitle="Ошибка" error="Допускается ввод только действительных чисел!" sqref="CE27">
      <formula1>-9.99999999999999E+23</formula1>
      <formula2>9.99999999999999E+23</formula2>
    </dataValidation>
    <dataValidation type="decimal" allowBlank="1" showErrorMessage="1" errorTitle="Ошибка" error="Допускается ввод только действительных чисел!" sqref="CD27">
      <formula1>-9.99999999999999E+23</formula1>
      <formula2>9.99999999999999E+23</formula2>
    </dataValidation>
    <dataValidation type="decimal" allowBlank="1" showErrorMessage="1" errorTitle="Ошибка" error="Допускается ввод только действительных чисел!" sqref="CC27">
      <formula1>-9.99999999999999E+23</formula1>
      <formula2>9.99999999999999E+23</formula2>
    </dataValidation>
    <dataValidation type="decimal" allowBlank="1" showErrorMessage="1" errorTitle="Ошибка" error="Допускается ввод только действительных чисел!" sqref="CB27">
      <formula1>-9.99999999999999E+23</formula1>
      <formula2>9.99999999999999E+23</formula2>
    </dataValidation>
    <dataValidation type="decimal" allowBlank="1" showErrorMessage="1" errorTitle="Ошибка" error="Допускается ввод только действительных чисел!" sqref="CA27">
      <formula1>-9.99999999999999E+23</formula1>
      <formula2>9.99999999999999E+23</formula2>
    </dataValidation>
    <dataValidation type="decimal" allowBlank="1" showErrorMessage="1" errorTitle="Ошибка" error="Допускается ввод только действительных чисел!" sqref="BZ27">
      <formula1>-9.99999999999999E+23</formula1>
      <formula2>9.99999999999999E+23</formula2>
    </dataValidation>
    <dataValidation type="decimal" allowBlank="1" showErrorMessage="1" errorTitle="Ошибка" error="Допускается ввод только действительных чисел!" sqref="BY27">
      <formula1>-9.99999999999999E+23</formula1>
      <formula2>9.99999999999999E+23</formula2>
    </dataValidation>
    <dataValidation type="decimal" allowBlank="1" showErrorMessage="1" errorTitle="Ошибка" error="Допускается ввод только действительных чисел!" sqref="BX27">
      <formula1>-9.99999999999999E+23</formula1>
      <formula2>9.99999999999999E+23</formula2>
    </dataValidation>
    <dataValidation type="decimal" allowBlank="1" showErrorMessage="1" errorTitle="Ошибка" error="Допускается ввод только действительных чисел!" sqref="BW27">
      <formula1>-9.99999999999999E+23</formula1>
      <formula2>9.99999999999999E+23</formula2>
    </dataValidation>
    <dataValidation type="decimal" allowBlank="1" showErrorMessage="1" errorTitle="Ошибка" error="Допускается ввод только действительных чисел!" sqref="BV27">
      <formula1>-9.99999999999999E+23</formula1>
      <formula2>9.99999999999999E+23</formula2>
    </dataValidation>
    <dataValidation type="decimal" allowBlank="1" showErrorMessage="1" errorTitle="Ошибка" error="Допускается ввод только действительных чисел!" sqref="BU27">
      <formula1>-9.99999999999999E+23</formula1>
      <formula2>9.99999999999999E+23</formula2>
    </dataValidation>
    <dataValidation type="decimal" allowBlank="1" showErrorMessage="1" errorTitle="Ошибка" error="Допускается ввод только действительных чисел!" sqref="BT27">
      <formula1>-9.99999999999999E+23</formula1>
      <formula2>9.99999999999999E+23</formula2>
    </dataValidation>
    <dataValidation type="decimal" allowBlank="1" showErrorMessage="1" errorTitle="Ошибка" error="Допускается ввод только действительных чисел!" sqref="AB27">
      <formula1>-9.99999999999999E+23</formula1>
      <formula2>9.99999999999999E+23</formula2>
    </dataValidation>
    <dataValidation type="decimal" allowBlank="1" showErrorMessage="1" errorTitle="Ошибка" error="Допускается ввод только действительных чисел!" sqref="AA27">
      <formula1>-9.99999999999999E+23</formula1>
      <formula2>9.99999999999999E+23</formula2>
    </dataValidation>
    <dataValidation type="decimal" allowBlank="1" showErrorMessage="1" errorTitle="Ошибка" error="Допускается ввод только действительных чисел!" sqref="Z27">
      <formula1>-9.99999999999999E+23</formula1>
      <formula2>9.99999999999999E+23</formula2>
    </dataValidation>
    <dataValidation type="decimal" allowBlank="1" showErrorMessage="1" errorTitle="Ошибка" error="Допускается ввод только действительных чисел!" sqref="Y27">
      <formula1>-9.99999999999999E+23</formula1>
      <formula2>9.99999999999999E+23</formula2>
    </dataValidation>
    <dataValidation type="decimal" allowBlank="1" showErrorMessage="1" errorTitle="Ошибка" error="Допускается ввод только действительных чисел!" sqref="X27">
      <formula1>-9.99999999999999E+23</formula1>
      <formula2>9.99999999999999E+23</formula2>
    </dataValidation>
    <dataValidation type="decimal" allowBlank="1" showErrorMessage="1" errorTitle="Ошибка" error="Допускается ввод только действительных чисел!" sqref="W27">
      <formula1>-9.99999999999999E+23</formula1>
      <formula2>9.99999999999999E+23</formula2>
    </dataValidation>
    <dataValidation type="decimal" allowBlank="1" showErrorMessage="1" errorTitle="Ошибка" error="Допускается ввод только действительных чисел!" sqref="V27">
      <formula1>-9.99999999999999E+23</formula1>
      <formula2>9.99999999999999E+23</formula2>
    </dataValidation>
    <dataValidation type="decimal" allowBlank="1" showErrorMessage="1" errorTitle="Ошибка" error="Допускается ввод только действительных чисел!" sqref="U27">
      <formula1>-9.99999999999999E+23</formula1>
      <formula2>9.99999999999999E+23</formula2>
    </dataValidation>
    <dataValidation type="decimal" allowBlank="1" showErrorMessage="1" errorTitle="Ошибка" error="Допускается ввод только действительных чисел!" sqref="T27">
      <formula1>-9.99999999999999E+23</formula1>
      <formula2>9.99999999999999E+23</formula2>
    </dataValidation>
    <dataValidation type="decimal" allowBlank="1" showErrorMessage="1" errorTitle="Ошибка" error="Допускается ввод только действительных чисел!" sqref="S27">
      <formula1>-9.99999999999999E+23</formula1>
      <formula2>9.99999999999999E+23</formula2>
    </dataValidation>
    <dataValidation type="decimal" allowBlank="1" showErrorMessage="1" errorTitle="Ошибка" error="Допускается ввод только действительных чисел!" sqref="R27">
      <formula1>-9.99999999999999E+23</formula1>
      <formula2>9.99999999999999E+23</formula2>
    </dataValidation>
    <dataValidation type="decimal" allowBlank="1" showErrorMessage="1" errorTitle="Ошибка" error="Допускается ввод только действительных чисел!" sqref="Q27">
      <formula1>-9.99999999999999E+23</formula1>
      <formula2>9.99999999999999E+23</formula2>
    </dataValidation>
    <dataValidation type="decimal" allowBlank="1" showErrorMessage="1" errorTitle="Ошибка" error="Допускается ввод только действительных чисел!" sqref="P27">
      <formula1>-9.99999999999999E+23</formula1>
      <formula2>9.99999999999999E+23</formula2>
    </dataValidation>
    <dataValidation type="decimal" allowBlank="1" showErrorMessage="1" errorTitle="Ошибка" error="Допускается ввод только действительных чисел!" sqref="O2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7">
      <formula1>900</formula1>
    </dataValidation>
    <dataValidation type="list" allowBlank="1" showInputMessage="1" showErrorMessage="1" errorTitle="Ошибка" error="Выберите значение из списка" prompt="Выберите значение из списка" sqref="H27">
      <formula1>QRE_METHOD_LIST</formula1>
    </dataValidation>
    <dataValidation type="decimal" allowBlank="1" showErrorMessage="1" errorTitle="Ошибка" error="Допускается ввод только действительных чисел!" sqref="DJ26">
      <formula1>-9.99999999999999E+23</formula1>
      <formula2>9.99999999999999E+23</formula2>
    </dataValidation>
    <dataValidation type="decimal" allowBlank="1" showErrorMessage="1" errorTitle="Ошибка" error="Допускается ввод только действительных чисел!" sqref="DI26">
      <formula1>-9.99999999999999E+23</formula1>
      <formula2>9.99999999999999E+23</formula2>
    </dataValidation>
    <dataValidation type="decimal" allowBlank="1" showErrorMessage="1" errorTitle="Ошибка" error="Допускается ввод только действительных чисел!" sqref="DH26">
      <formula1>-9.99999999999999E+23</formula1>
      <formula2>9.99999999999999E+23</formula2>
    </dataValidation>
    <dataValidation type="decimal" allowBlank="1" showErrorMessage="1" errorTitle="Ошибка" error="Допускается ввод только действительных чисел!" sqref="DG26">
      <formula1>-9.99999999999999E+23</formula1>
      <formula2>9.99999999999999E+23</formula2>
    </dataValidation>
    <dataValidation type="decimal" allowBlank="1" showErrorMessage="1" errorTitle="Ошибка" error="Допускается ввод только действительных чисел!" sqref="DF26">
      <formula1>-9.99999999999999E+23</formula1>
      <formula2>9.99999999999999E+23</formula2>
    </dataValidation>
    <dataValidation type="decimal" allowBlank="1" showErrorMessage="1" errorTitle="Ошибка" error="Допускается ввод только действительных чисел!" sqref="DE26">
      <formula1>-9.99999999999999E+23</formula1>
      <formula2>9.99999999999999E+23</formula2>
    </dataValidation>
    <dataValidation type="decimal" allowBlank="1" showErrorMessage="1" errorTitle="Ошибка" error="Допускается ввод только действительных чисел!" sqref="DD26">
      <formula1>-9.99999999999999E+23</formula1>
      <formula2>9.99999999999999E+23</formula2>
    </dataValidation>
    <dataValidation type="decimal" allowBlank="1" showErrorMessage="1" errorTitle="Ошибка" error="Допускается ввод только действительных чисел!" sqref="DC26">
      <formula1>-9.99999999999999E+23</formula1>
      <formula2>9.99999999999999E+23</formula2>
    </dataValidation>
    <dataValidation type="decimal" allowBlank="1" showErrorMessage="1" errorTitle="Ошибка" error="Допускается ввод только действительных чисел!" sqref="DB26">
      <formula1>-9.99999999999999E+23</formula1>
      <formula2>9.99999999999999E+23</formula2>
    </dataValidation>
    <dataValidation type="decimal" allowBlank="1" showErrorMessage="1" errorTitle="Ошибка" error="Допускается ввод только действительных чисел!" sqref="DA26">
      <formula1>-9.99999999999999E+23</formula1>
      <formula2>9.99999999999999E+23</formula2>
    </dataValidation>
    <dataValidation type="decimal" allowBlank="1" showErrorMessage="1" errorTitle="Ошибка" error="Допускается ввод только действительных чисел!" sqref="CZ26">
      <formula1>-9.99999999999999E+23</formula1>
      <formula2>9.99999999999999E+23</formula2>
    </dataValidation>
    <dataValidation type="decimal" allowBlank="1" showErrorMessage="1" errorTitle="Ошибка" error="Допускается ввод только действительных чисел!" sqref="CY26">
      <formula1>-9.99999999999999E+23</formula1>
      <formula2>9.99999999999999E+23</formula2>
    </dataValidation>
    <dataValidation type="decimal" allowBlank="1" showErrorMessage="1" errorTitle="Ошибка" error="Допускается ввод только действительных чисел!" sqref="CK26">
      <formula1>-9.99999999999999E+23</formula1>
      <formula2>9.99999999999999E+23</formula2>
    </dataValidation>
    <dataValidation type="decimal" allowBlank="1" showErrorMessage="1" errorTitle="Ошибка" error="Допускается ввод только действительных чисел!" sqref="CJ26">
      <formula1>-9.99999999999999E+23</formula1>
      <formula2>9.99999999999999E+23</formula2>
    </dataValidation>
    <dataValidation type="decimal" allowBlank="1" showErrorMessage="1" errorTitle="Ошибка" error="Допускается ввод только действительных чисел!" sqref="CI26">
      <formula1>-9.99999999999999E+23</formula1>
      <formula2>9.99999999999999E+23</formula2>
    </dataValidation>
    <dataValidation type="decimal" allowBlank="1" showErrorMessage="1" errorTitle="Ошибка" error="Допускается ввод только действительных чисел!" sqref="CH26">
      <formula1>-9.99999999999999E+23</formula1>
      <formula2>9.99999999999999E+23</formula2>
    </dataValidation>
    <dataValidation type="decimal" allowBlank="1" showErrorMessage="1" errorTitle="Ошибка" error="Допускается ввод только действительных чисел!" sqref="CG26">
      <formula1>-9.99999999999999E+23</formula1>
      <formula2>9.99999999999999E+23</formula2>
    </dataValidation>
    <dataValidation type="decimal" allowBlank="1" showErrorMessage="1" errorTitle="Ошибка" error="Допускается ввод только действительных чисел!" sqref="CF26">
      <formula1>-9.99999999999999E+23</formula1>
      <formula2>9.99999999999999E+23</formula2>
    </dataValidation>
    <dataValidation type="decimal" allowBlank="1" showErrorMessage="1" errorTitle="Ошибка" error="Допускается ввод только действительных чисел!" sqref="CE26">
      <formula1>-9.99999999999999E+23</formula1>
      <formula2>9.99999999999999E+23</formula2>
    </dataValidation>
    <dataValidation type="decimal" allowBlank="1" showErrorMessage="1" errorTitle="Ошибка" error="Допускается ввод только действительных чисел!" sqref="CD26">
      <formula1>-9.99999999999999E+23</formula1>
      <formula2>9.99999999999999E+23</formula2>
    </dataValidation>
    <dataValidation type="decimal" allowBlank="1" showErrorMessage="1" errorTitle="Ошибка" error="Допускается ввод только действительных чисел!" sqref="CC26">
      <formula1>-9.99999999999999E+23</formula1>
      <formula2>9.99999999999999E+23</formula2>
    </dataValidation>
    <dataValidation type="decimal" allowBlank="1" showErrorMessage="1" errorTitle="Ошибка" error="Допускается ввод только действительных чисел!" sqref="CB26">
      <formula1>-9.99999999999999E+23</formula1>
      <formula2>9.99999999999999E+23</formula2>
    </dataValidation>
    <dataValidation type="decimal" allowBlank="1" showErrorMessage="1" errorTitle="Ошибка" error="Допускается ввод только действительных чисел!" sqref="CA26">
      <formula1>-9.99999999999999E+23</formula1>
      <formula2>9.99999999999999E+23</formula2>
    </dataValidation>
    <dataValidation type="decimal" allowBlank="1" showErrorMessage="1" errorTitle="Ошибка" error="Допускается ввод только действительных чисел!" sqref="BZ26">
      <formula1>-9.99999999999999E+23</formula1>
      <formula2>9.99999999999999E+23</formula2>
    </dataValidation>
    <dataValidation type="decimal" allowBlank="1" showErrorMessage="1" errorTitle="Ошибка" error="Допускается ввод только действительных чисел!" sqref="BY26">
      <formula1>-9.99999999999999E+23</formula1>
      <formula2>9.99999999999999E+23</formula2>
    </dataValidation>
    <dataValidation type="decimal" allowBlank="1" showErrorMessage="1" errorTitle="Ошибка" error="Допускается ввод только действительных чисел!" sqref="BX26">
      <formula1>-9.99999999999999E+23</formula1>
      <formula2>9.99999999999999E+23</formula2>
    </dataValidation>
    <dataValidation type="decimal" allowBlank="1" showErrorMessage="1" errorTitle="Ошибка" error="Допускается ввод только действительных чисел!" sqref="BW26">
      <formula1>-9.99999999999999E+23</formula1>
      <formula2>9.99999999999999E+23</formula2>
    </dataValidation>
    <dataValidation type="decimal" allowBlank="1" showErrorMessage="1" errorTitle="Ошибка" error="Допускается ввод только действительных чисел!" sqref="BV26">
      <formula1>-9.99999999999999E+23</formula1>
      <formula2>9.99999999999999E+23</formula2>
    </dataValidation>
    <dataValidation type="decimal" allowBlank="1" showErrorMessage="1" errorTitle="Ошибка" error="Допускается ввод только действительных чисел!" sqref="BU26">
      <formula1>-9.99999999999999E+23</formula1>
      <formula2>9.99999999999999E+23</formula2>
    </dataValidation>
    <dataValidation type="decimal" allowBlank="1" showErrorMessage="1" errorTitle="Ошибка" error="Допускается ввод только действительных чисел!" sqref="BT26">
      <formula1>-9.99999999999999E+23</formula1>
      <formula2>9.99999999999999E+23</formula2>
    </dataValidation>
    <dataValidation type="decimal" allowBlank="1" showErrorMessage="1" errorTitle="Ошибка" error="Допускается ввод только действительных чисел!" sqref="AB26">
      <formula1>-9.99999999999999E+23</formula1>
      <formula2>9.99999999999999E+23</formula2>
    </dataValidation>
    <dataValidation type="decimal" allowBlank="1" showErrorMessage="1" errorTitle="Ошибка" error="Допускается ввод только действительных чисел!" sqref="AA26">
      <formula1>-9.99999999999999E+23</formula1>
      <formula2>9.99999999999999E+23</formula2>
    </dataValidation>
    <dataValidation type="decimal" allowBlank="1" showErrorMessage="1" errorTitle="Ошибка" error="Допускается ввод только действительных чисел!" sqref="Z26">
      <formula1>-9.99999999999999E+23</formula1>
      <formula2>9.99999999999999E+23</formula2>
    </dataValidation>
    <dataValidation type="decimal" allowBlank="1" showErrorMessage="1" errorTitle="Ошибка" error="Допускается ввод только действительных чисел!" sqref="Y26">
      <formula1>-9.99999999999999E+23</formula1>
      <formula2>9.99999999999999E+23</formula2>
    </dataValidation>
    <dataValidation type="decimal" allowBlank="1" showErrorMessage="1" errorTitle="Ошибка" error="Допускается ввод только действительных чисел!" sqref="X26">
      <formula1>-9.99999999999999E+23</formula1>
      <formula2>9.99999999999999E+23</formula2>
    </dataValidation>
    <dataValidation type="decimal" allowBlank="1" showErrorMessage="1" errorTitle="Ошибка" error="Допускается ввод только действительных чисел!" sqref="W26">
      <formula1>-9.99999999999999E+23</formula1>
      <formula2>9.99999999999999E+23</formula2>
    </dataValidation>
    <dataValidation type="decimal" allowBlank="1" showErrorMessage="1" errorTitle="Ошибка" error="Допускается ввод только действительных чисел!" sqref="V26">
      <formula1>-9.99999999999999E+23</formula1>
      <formula2>9.99999999999999E+23</formula2>
    </dataValidation>
    <dataValidation type="decimal" allowBlank="1" showErrorMessage="1" errorTitle="Ошибка" error="Допускается ввод только действительных чисел!" sqref="U26">
      <formula1>-9.99999999999999E+23</formula1>
      <formula2>9.99999999999999E+23</formula2>
    </dataValidation>
    <dataValidation type="decimal" allowBlank="1" showErrorMessage="1" errorTitle="Ошибка" error="Допускается ввод только действительных чисел!" sqref="T26">
      <formula1>-9.99999999999999E+23</formula1>
      <formula2>9.99999999999999E+23</formula2>
    </dataValidation>
    <dataValidation type="decimal" allowBlank="1" showErrorMessage="1" errorTitle="Ошибка" error="Допускается ввод только действительных чисел!" sqref="S26">
      <formula1>-9.99999999999999E+23</formula1>
      <formula2>9.99999999999999E+23</formula2>
    </dataValidation>
    <dataValidation type="decimal" allowBlank="1" showErrorMessage="1" errorTitle="Ошибка" error="Допускается ввод только действительных чисел!" sqref="R26">
      <formula1>-9.99999999999999E+23</formula1>
      <formula2>9.99999999999999E+23</formula2>
    </dataValidation>
    <dataValidation type="decimal" allowBlank="1" showErrorMessage="1" errorTitle="Ошибка" error="Допускается ввод только действительных чисел!" sqref="Q26">
      <formula1>-9.99999999999999E+23</formula1>
      <formula2>9.99999999999999E+23</formula2>
    </dataValidation>
    <dataValidation type="decimal" allowBlank="1" showErrorMessage="1" errorTitle="Ошибка" error="Допускается ввод только действительных чисел!" sqref="P26">
      <formula1>-9.99999999999999E+23</formula1>
      <formula2>9.99999999999999E+23</formula2>
    </dataValidation>
    <dataValidation type="decimal" allowBlank="1" showErrorMessage="1" errorTitle="Ошибка" error="Допускается ввод только действительных чисел!" sqref="O26">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6">
      <formula1>900</formula1>
    </dataValidation>
    <dataValidation type="list" allowBlank="1" showInputMessage="1" showErrorMessage="1" errorTitle="Ошибка" error="Выберите значение из списка" prompt="Выберите значение из списка" sqref="H26">
      <formula1>QRE_METHOD_LIST</formula1>
    </dataValidation>
    <dataValidation type="decimal" allowBlank="1" showErrorMessage="1" errorTitle="Ошибка" error="Допускается ввод только действительных чисел!" sqref="DJ25">
      <formula1>-9.99999999999999E+23</formula1>
      <formula2>9.99999999999999E+23</formula2>
    </dataValidation>
    <dataValidation type="decimal" allowBlank="1" showErrorMessage="1" errorTitle="Ошибка" error="Допускается ввод только действительных чисел!" sqref="DI25">
      <formula1>-9.99999999999999E+23</formula1>
      <formula2>9.99999999999999E+23</formula2>
    </dataValidation>
    <dataValidation type="decimal" allowBlank="1" showErrorMessage="1" errorTitle="Ошибка" error="Допускается ввод только действительных чисел!" sqref="DH25">
      <formula1>-9.99999999999999E+23</formula1>
      <formula2>9.99999999999999E+23</formula2>
    </dataValidation>
    <dataValidation type="decimal" allowBlank="1" showErrorMessage="1" errorTitle="Ошибка" error="Допускается ввод только действительных чисел!" sqref="DG25">
      <formula1>-9.99999999999999E+23</formula1>
      <formula2>9.99999999999999E+23</formula2>
    </dataValidation>
    <dataValidation type="decimal" allowBlank="1" showErrorMessage="1" errorTitle="Ошибка" error="Допускается ввод только действительных чисел!" sqref="DF25">
      <formula1>-9.99999999999999E+23</formula1>
      <formula2>9.99999999999999E+23</formula2>
    </dataValidation>
    <dataValidation type="decimal" allowBlank="1" showErrorMessage="1" errorTitle="Ошибка" error="Допускается ввод только действительных чисел!" sqref="DE25">
      <formula1>-9.99999999999999E+23</formula1>
      <formula2>9.99999999999999E+23</formula2>
    </dataValidation>
    <dataValidation type="decimal" allowBlank="1" showErrorMessage="1" errorTitle="Ошибка" error="Допускается ввод только действительных чисел!" sqref="DD25">
      <formula1>-9.99999999999999E+23</formula1>
      <formula2>9.99999999999999E+23</formula2>
    </dataValidation>
    <dataValidation type="decimal" allowBlank="1" showErrorMessage="1" errorTitle="Ошибка" error="Допускается ввод только действительных чисел!" sqref="DC25">
      <formula1>-9.99999999999999E+23</formula1>
      <formula2>9.99999999999999E+23</formula2>
    </dataValidation>
    <dataValidation type="decimal" allowBlank="1" showErrorMessage="1" errorTitle="Ошибка" error="Допускается ввод только действительных чисел!" sqref="DB25">
      <formula1>-9.99999999999999E+23</formula1>
      <formula2>9.99999999999999E+23</formula2>
    </dataValidation>
    <dataValidation type="decimal" allowBlank="1" showErrorMessage="1" errorTitle="Ошибка" error="Допускается ввод только действительных чисел!" sqref="DA25">
      <formula1>-9.99999999999999E+23</formula1>
      <formula2>9.99999999999999E+23</formula2>
    </dataValidation>
    <dataValidation type="decimal" allowBlank="1" showErrorMessage="1" errorTitle="Ошибка" error="Допускается ввод только действительных чисел!" sqref="CZ25">
      <formula1>-9.99999999999999E+23</formula1>
      <formula2>9.99999999999999E+23</formula2>
    </dataValidation>
    <dataValidation type="decimal" allowBlank="1" showErrorMessage="1" errorTitle="Ошибка" error="Допускается ввод только действительных чисел!" sqref="CY25">
      <formula1>-9.99999999999999E+23</formula1>
      <formula2>9.99999999999999E+23</formula2>
    </dataValidation>
    <dataValidation type="decimal" allowBlank="1" showErrorMessage="1" errorTitle="Ошибка" error="Допускается ввод только действительных чисел!" sqref="CK25">
      <formula1>-9.99999999999999E+23</formula1>
      <formula2>9.99999999999999E+23</formula2>
    </dataValidation>
    <dataValidation type="decimal" allowBlank="1" showErrorMessage="1" errorTitle="Ошибка" error="Допускается ввод только действительных чисел!" sqref="CJ25">
      <formula1>-9.99999999999999E+23</formula1>
      <formula2>9.99999999999999E+23</formula2>
    </dataValidation>
    <dataValidation type="decimal" allowBlank="1" showErrorMessage="1" errorTitle="Ошибка" error="Допускается ввод только действительных чисел!" sqref="CI25">
      <formula1>-9.99999999999999E+23</formula1>
      <formula2>9.99999999999999E+23</formula2>
    </dataValidation>
    <dataValidation type="decimal" allowBlank="1" showErrorMessage="1" errorTitle="Ошибка" error="Допускается ввод только действительных чисел!" sqref="CH25">
      <formula1>-9.99999999999999E+23</formula1>
      <formula2>9.99999999999999E+23</formula2>
    </dataValidation>
    <dataValidation type="decimal" allowBlank="1" showErrorMessage="1" errorTitle="Ошибка" error="Допускается ввод только действительных чисел!" sqref="CG25">
      <formula1>-9.99999999999999E+23</formula1>
      <formula2>9.99999999999999E+23</formula2>
    </dataValidation>
    <dataValidation type="decimal" allowBlank="1" showErrorMessage="1" errorTitle="Ошибка" error="Допускается ввод только действительных чисел!" sqref="CF25">
      <formula1>-9.99999999999999E+23</formula1>
      <formula2>9.99999999999999E+23</formula2>
    </dataValidation>
    <dataValidation type="decimal" allowBlank="1" showErrorMessage="1" errorTitle="Ошибка" error="Допускается ввод только действительных чисел!" sqref="CE25">
      <formula1>-9.99999999999999E+23</formula1>
      <formula2>9.99999999999999E+23</formula2>
    </dataValidation>
    <dataValidation type="decimal" allowBlank="1" showErrorMessage="1" errorTitle="Ошибка" error="Допускается ввод только действительных чисел!" sqref="CD25">
      <formula1>-9.99999999999999E+23</formula1>
      <formula2>9.99999999999999E+23</formula2>
    </dataValidation>
    <dataValidation type="decimal" allowBlank="1" showErrorMessage="1" errorTitle="Ошибка" error="Допускается ввод только действительных чисел!" sqref="CC25">
      <formula1>-9.99999999999999E+23</formula1>
      <formula2>9.99999999999999E+23</formula2>
    </dataValidation>
    <dataValidation type="decimal" allowBlank="1" showErrorMessage="1" errorTitle="Ошибка" error="Допускается ввод только действительных чисел!" sqref="CB25">
      <formula1>-9.99999999999999E+23</formula1>
      <formula2>9.99999999999999E+23</formula2>
    </dataValidation>
    <dataValidation type="decimal" allowBlank="1" showErrorMessage="1" errorTitle="Ошибка" error="Допускается ввод только действительных чисел!" sqref="CA25">
      <formula1>-9.99999999999999E+23</formula1>
      <formula2>9.99999999999999E+23</formula2>
    </dataValidation>
    <dataValidation type="decimal" allowBlank="1" showErrorMessage="1" errorTitle="Ошибка" error="Допускается ввод только действительных чисел!" sqref="BZ25">
      <formula1>-9.99999999999999E+23</formula1>
      <formula2>9.99999999999999E+23</formula2>
    </dataValidation>
    <dataValidation type="decimal" allowBlank="1" showErrorMessage="1" errorTitle="Ошибка" error="Допускается ввод только действительных чисел!" sqref="BY25">
      <formula1>-9.99999999999999E+23</formula1>
      <formula2>9.99999999999999E+23</formula2>
    </dataValidation>
    <dataValidation type="decimal" allowBlank="1" showErrorMessage="1" errorTitle="Ошибка" error="Допускается ввод только действительных чисел!" sqref="BX25">
      <formula1>-9.99999999999999E+23</formula1>
      <formula2>9.99999999999999E+23</formula2>
    </dataValidation>
    <dataValidation type="decimal" allowBlank="1" showErrorMessage="1" errorTitle="Ошибка" error="Допускается ввод только действительных чисел!" sqref="BW25">
      <formula1>-9.99999999999999E+23</formula1>
      <formula2>9.99999999999999E+23</formula2>
    </dataValidation>
    <dataValidation type="decimal" allowBlank="1" showErrorMessage="1" errorTitle="Ошибка" error="Допускается ввод только действительных чисел!" sqref="BV25">
      <formula1>-9.99999999999999E+23</formula1>
      <formula2>9.99999999999999E+23</formula2>
    </dataValidation>
    <dataValidation type="decimal" allowBlank="1" showErrorMessage="1" errorTitle="Ошибка" error="Допускается ввод только действительных чисел!" sqref="BU25">
      <formula1>-9.99999999999999E+23</formula1>
      <formula2>9.99999999999999E+23</formula2>
    </dataValidation>
    <dataValidation type="decimal" allowBlank="1" showErrorMessage="1" errorTitle="Ошибка" error="Допускается ввод только действительных чисел!" sqref="BT25">
      <formula1>-9.99999999999999E+23</formula1>
      <formula2>9.99999999999999E+23</formula2>
    </dataValidation>
    <dataValidation type="decimal" allowBlank="1" showErrorMessage="1" errorTitle="Ошибка" error="Допускается ввод только действительных чисел!" sqref="AB25">
      <formula1>-9.99999999999999E+23</formula1>
      <formula2>9.99999999999999E+23</formula2>
    </dataValidation>
    <dataValidation type="decimal" allowBlank="1" showErrorMessage="1" errorTitle="Ошибка" error="Допускается ввод только действительных чисел!" sqref="AA25">
      <formula1>-9.99999999999999E+23</formula1>
      <formula2>9.99999999999999E+23</formula2>
    </dataValidation>
    <dataValidation type="decimal" allowBlank="1" showErrorMessage="1" errorTitle="Ошибка" error="Допускается ввод только действительных чисел!" sqref="Z25">
      <formula1>-9.99999999999999E+23</formula1>
      <formula2>9.99999999999999E+23</formula2>
    </dataValidation>
    <dataValidation type="decimal" allowBlank="1" showErrorMessage="1" errorTitle="Ошибка" error="Допускается ввод только действительных чисел!" sqref="Y25">
      <formula1>-9.99999999999999E+23</formula1>
      <formula2>9.99999999999999E+23</formula2>
    </dataValidation>
    <dataValidation type="decimal" allowBlank="1" showErrorMessage="1" errorTitle="Ошибка" error="Допускается ввод только действительных чисел!" sqref="X25">
      <formula1>-9.99999999999999E+23</formula1>
      <formula2>9.99999999999999E+23</formula2>
    </dataValidation>
    <dataValidation type="decimal" allowBlank="1" showErrorMessage="1" errorTitle="Ошибка" error="Допускается ввод только действительных чисел!" sqref="W25">
      <formula1>-9.99999999999999E+23</formula1>
      <formula2>9.99999999999999E+23</formula2>
    </dataValidation>
    <dataValidation type="decimal" allowBlank="1" showErrorMessage="1" errorTitle="Ошибка" error="Допускается ввод только действительных чисел!" sqref="V25">
      <formula1>-9.99999999999999E+23</formula1>
      <formula2>9.99999999999999E+23</formula2>
    </dataValidation>
    <dataValidation type="decimal" allowBlank="1" showErrorMessage="1" errorTitle="Ошибка" error="Допускается ввод только действительных чисел!" sqref="U25">
      <formula1>-9.99999999999999E+23</formula1>
      <formula2>9.99999999999999E+23</formula2>
    </dataValidation>
    <dataValidation type="decimal" allowBlank="1" showErrorMessage="1" errorTitle="Ошибка" error="Допускается ввод только действительных чисел!" sqref="T25">
      <formula1>-9.99999999999999E+23</formula1>
      <formula2>9.99999999999999E+23</formula2>
    </dataValidation>
    <dataValidation type="decimal" allowBlank="1" showErrorMessage="1" errorTitle="Ошибка" error="Допускается ввод только действительных чисел!" sqref="S25">
      <formula1>-9.99999999999999E+23</formula1>
      <formula2>9.99999999999999E+23</formula2>
    </dataValidation>
    <dataValidation type="decimal" allowBlank="1" showErrorMessage="1" errorTitle="Ошибка" error="Допускается ввод только действительных чисел!" sqref="R25">
      <formula1>-9.99999999999999E+23</formula1>
      <formula2>9.99999999999999E+23</formula2>
    </dataValidation>
    <dataValidation type="decimal" allowBlank="1" showErrorMessage="1" errorTitle="Ошибка" error="Допускается ввод только действительных чисел!" sqref="Q25">
      <formula1>-9.99999999999999E+23</formula1>
      <formula2>9.99999999999999E+23</formula2>
    </dataValidation>
    <dataValidation type="decimal" allowBlank="1" showErrorMessage="1" errorTitle="Ошибка" error="Допускается ввод только действительных чисел!" sqref="P25">
      <formula1>-9.99999999999999E+23</formula1>
      <formula2>9.99999999999999E+23</formula2>
    </dataValidation>
    <dataValidation type="decimal" allowBlank="1" showErrorMessage="1" errorTitle="Ошибка" error="Допускается ввод только действительных чисел!" sqref="O2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5">
      <formula1>900</formula1>
    </dataValidation>
    <dataValidation type="list" allowBlank="1" showInputMessage="1" showErrorMessage="1" errorTitle="Ошибка" error="Выберите значение из списка" prompt="Выберите значение из списка" sqref="H25">
      <formula1>QRE_METHOD_LIST</formula1>
    </dataValidation>
    <dataValidation type="decimal" allowBlank="1" showErrorMessage="1" errorTitle="Ошибка" error="Допускается ввод только действительных чисел!" sqref="DJ24">
      <formula1>-9.99999999999999E+23</formula1>
      <formula2>9.99999999999999E+23</formula2>
    </dataValidation>
    <dataValidation type="decimal" allowBlank="1" showErrorMessage="1" errorTitle="Ошибка" error="Допускается ввод только действительных чисел!" sqref="DI24">
      <formula1>-9.99999999999999E+23</formula1>
      <formula2>9.99999999999999E+23</formula2>
    </dataValidation>
    <dataValidation type="decimal" allowBlank="1" showErrorMessage="1" errorTitle="Ошибка" error="Допускается ввод только действительных чисел!" sqref="DH24">
      <formula1>-9.99999999999999E+23</formula1>
      <formula2>9.99999999999999E+23</formula2>
    </dataValidation>
    <dataValidation type="decimal" allowBlank="1" showErrorMessage="1" errorTitle="Ошибка" error="Допускается ввод только действительных чисел!" sqref="DG24">
      <formula1>-9.99999999999999E+23</formula1>
      <formula2>9.99999999999999E+23</formula2>
    </dataValidation>
    <dataValidation type="decimal" allowBlank="1" showErrorMessage="1" errorTitle="Ошибка" error="Допускается ввод только действительных чисел!" sqref="DF24">
      <formula1>-9.99999999999999E+23</formula1>
      <formula2>9.99999999999999E+23</formula2>
    </dataValidation>
    <dataValidation type="decimal" allowBlank="1" showErrorMessage="1" errorTitle="Ошибка" error="Допускается ввод только действительных чисел!" sqref="DE24">
      <formula1>-9.99999999999999E+23</formula1>
      <formula2>9.99999999999999E+23</formula2>
    </dataValidation>
    <dataValidation type="decimal" allowBlank="1" showErrorMessage="1" errorTitle="Ошибка" error="Допускается ввод только действительных чисел!" sqref="DD24">
      <formula1>-9.99999999999999E+23</formula1>
      <formula2>9.99999999999999E+23</formula2>
    </dataValidation>
    <dataValidation type="decimal" allowBlank="1" showErrorMessage="1" errorTitle="Ошибка" error="Допускается ввод только действительных чисел!" sqref="DC24">
      <formula1>-9.99999999999999E+23</formula1>
      <formula2>9.99999999999999E+23</formula2>
    </dataValidation>
    <dataValidation type="decimal" allowBlank="1" showErrorMessage="1" errorTitle="Ошибка" error="Допускается ввод только действительных чисел!" sqref="DB24">
      <formula1>-9.99999999999999E+23</formula1>
      <formula2>9.99999999999999E+23</formula2>
    </dataValidation>
    <dataValidation type="decimal" allowBlank="1" showErrorMessage="1" errorTitle="Ошибка" error="Допускается ввод только действительных чисел!" sqref="DA24">
      <formula1>-9.99999999999999E+23</formula1>
      <formula2>9.99999999999999E+23</formula2>
    </dataValidation>
    <dataValidation type="decimal" allowBlank="1" showErrorMessage="1" errorTitle="Ошибка" error="Допускается ввод только действительных чисел!" sqref="CZ24">
      <formula1>-9.99999999999999E+23</formula1>
      <formula2>9.99999999999999E+23</formula2>
    </dataValidation>
    <dataValidation type="decimal" allowBlank="1" showErrorMessage="1" errorTitle="Ошибка" error="Допускается ввод только действительных чисел!" sqref="CY24">
      <formula1>-9.99999999999999E+23</formula1>
      <formula2>9.99999999999999E+23</formula2>
    </dataValidation>
    <dataValidation type="decimal" allowBlank="1" showErrorMessage="1" errorTitle="Ошибка" error="Допускается ввод только действительных чисел!" sqref="CK24">
      <formula1>-9.99999999999999E+23</formula1>
      <formula2>9.99999999999999E+23</formula2>
    </dataValidation>
    <dataValidation type="decimal" allowBlank="1" showErrorMessage="1" errorTitle="Ошибка" error="Допускается ввод только действительных чисел!" sqref="CJ24">
      <formula1>-9.99999999999999E+23</formula1>
      <formula2>9.99999999999999E+23</formula2>
    </dataValidation>
    <dataValidation type="decimal" allowBlank="1" showErrorMessage="1" errorTitle="Ошибка" error="Допускается ввод только действительных чисел!" sqref="CI24">
      <formula1>-9.99999999999999E+23</formula1>
      <formula2>9.99999999999999E+23</formula2>
    </dataValidation>
    <dataValidation type="decimal" allowBlank="1" showErrorMessage="1" errorTitle="Ошибка" error="Допускается ввод только действительных чисел!" sqref="CH24">
      <formula1>-9.99999999999999E+23</formula1>
      <formula2>9.99999999999999E+23</formula2>
    </dataValidation>
    <dataValidation type="decimal" allowBlank="1" showErrorMessage="1" errorTitle="Ошибка" error="Допускается ввод только действительных чисел!" sqref="CG24">
      <formula1>-9.99999999999999E+23</formula1>
      <formula2>9.99999999999999E+23</formula2>
    </dataValidation>
    <dataValidation type="decimal" allowBlank="1" showErrorMessage="1" errorTitle="Ошибка" error="Допускается ввод только действительных чисел!" sqref="CF24">
      <formula1>-9.99999999999999E+23</formula1>
      <formula2>9.99999999999999E+23</formula2>
    </dataValidation>
    <dataValidation type="decimal" allowBlank="1" showErrorMessage="1" errorTitle="Ошибка" error="Допускается ввод только действительных чисел!" sqref="CE24">
      <formula1>-9.99999999999999E+23</formula1>
      <formula2>9.99999999999999E+23</formula2>
    </dataValidation>
    <dataValidation type="decimal" allowBlank="1" showErrorMessage="1" errorTitle="Ошибка" error="Допускается ввод только действительных чисел!" sqref="CD24">
      <formula1>-9.99999999999999E+23</formula1>
      <formula2>9.99999999999999E+23</formula2>
    </dataValidation>
    <dataValidation type="decimal" allowBlank="1" showErrorMessage="1" errorTitle="Ошибка" error="Допускается ввод только действительных чисел!" sqref="CC24">
      <formula1>-9.99999999999999E+23</formula1>
      <formula2>9.99999999999999E+23</formula2>
    </dataValidation>
    <dataValidation type="decimal" allowBlank="1" showErrorMessage="1" errorTitle="Ошибка" error="Допускается ввод только действительных чисел!" sqref="CB24">
      <formula1>-9.99999999999999E+23</formula1>
      <formula2>9.99999999999999E+23</formula2>
    </dataValidation>
    <dataValidation type="decimal" allowBlank="1" showErrorMessage="1" errorTitle="Ошибка" error="Допускается ввод только действительных чисел!" sqref="CA24">
      <formula1>-9.99999999999999E+23</formula1>
      <formula2>9.99999999999999E+23</formula2>
    </dataValidation>
    <dataValidation type="decimal" allowBlank="1" showErrorMessage="1" errorTitle="Ошибка" error="Допускается ввод только действительных чисел!" sqref="BZ24">
      <formula1>-9.99999999999999E+23</formula1>
      <formula2>9.99999999999999E+23</formula2>
    </dataValidation>
    <dataValidation type="decimal" allowBlank="1" showErrorMessage="1" errorTitle="Ошибка" error="Допускается ввод только действительных чисел!" sqref="BY24">
      <formula1>-9.99999999999999E+23</formula1>
      <formula2>9.99999999999999E+23</formula2>
    </dataValidation>
    <dataValidation type="decimal" allowBlank="1" showErrorMessage="1" errorTitle="Ошибка" error="Допускается ввод только действительных чисел!" sqref="BX24">
      <formula1>-9.99999999999999E+23</formula1>
      <formula2>9.99999999999999E+23</formula2>
    </dataValidation>
    <dataValidation type="decimal" allowBlank="1" showErrorMessage="1" errorTitle="Ошибка" error="Допускается ввод только действительных чисел!" sqref="BW24">
      <formula1>-9.99999999999999E+23</formula1>
      <formula2>9.99999999999999E+23</formula2>
    </dataValidation>
    <dataValidation type="decimal" allowBlank="1" showErrorMessage="1" errorTitle="Ошибка" error="Допускается ввод только действительных чисел!" sqref="BV24">
      <formula1>-9.99999999999999E+23</formula1>
      <formula2>9.99999999999999E+23</formula2>
    </dataValidation>
    <dataValidation type="decimal" allowBlank="1" showErrorMessage="1" errorTitle="Ошибка" error="Допускается ввод только действительных чисел!" sqref="BU24">
      <formula1>-9.99999999999999E+23</formula1>
      <formula2>9.99999999999999E+23</formula2>
    </dataValidation>
    <dataValidation type="decimal" allowBlank="1" showErrorMessage="1" errorTitle="Ошибка" error="Допускается ввод только действительных чисел!" sqref="BT24">
      <formula1>-9.99999999999999E+23</formula1>
      <formula2>9.99999999999999E+23</formula2>
    </dataValidation>
    <dataValidation type="decimal" allowBlank="1" showErrorMessage="1" errorTitle="Ошибка" error="Допускается ввод только действительных чисел!" sqref="AB24">
      <formula1>-9.99999999999999E+23</formula1>
      <formula2>9.99999999999999E+23</formula2>
    </dataValidation>
    <dataValidation type="decimal" allowBlank="1" showErrorMessage="1" errorTitle="Ошибка" error="Допускается ввод только действительных чисел!" sqref="AA24">
      <formula1>-9.99999999999999E+23</formula1>
      <formula2>9.99999999999999E+23</formula2>
    </dataValidation>
    <dataValidation type="decimal" allowBlank="1" showErrorMessage="1" errorTitle="Ошибка" error="Допускается ввод только действительных чисел!" sqref="Z24">
      <formula1>-9.99999999999999E+23</formula1>
      <formula2>9.99999999999999E+23</formula2>
    </dataValidation>
    <dataValidation type="decimal" allowBlank="1" showErrorMessage="1" errorTitle="Ошибка" error="Допускается ввод только действительных чисел!" sqref="Y24">
      <formula1>-9.99999999999999E+23</formula1>
      <formula2>9.99999999999999E+23</formula2>
    </dataValidation>
    <dataValidation type="decimal" allowBlank="1" showErrorMessage="1" errorTitle="Ошибка" error="Допускается ввод только действительных чисел!" sqref="X24">
      <formula1>-9.99999999999999E+23</formula1>
      <formula2>9.99999999999999E+23</formula2>
    </dataValidation>
    <dataValidation type="decimal" allowBlank="1" showErrorMessage="1" errorTitle="Ошибка" error="Допускается ввод только действительных чисел!" sqref="W24">
      <formula1>-9.99999999999999E+23</formula1>
      <formula2>9.99999999999999E+23</formula2>
    </dataValidation>
    <dataValidation type="decimal" allowBlank="1" showErrorMessage="1" errorTitle="Ошибка" error="Допускается ввод только действительных чисел!" sqref="V24">
      <formula1>-9.99999999999999E+23</formula1>
      <formula2>9.99999999999999E+23</formula2>
    </dataValidation>
    <dataValidation type="decimal" allowBlank="1" showErrorMessage="1" errorTitle="Ошибка" error="Допускается ввод только действительных чисел!" sqref="U24">
      <formula1>-9.99999999999999E+23</formula1>
      <formula2>9.99999999999999E+23</formula2>
    </dataValidation>
    <dataValidation type="decimal" allowBlank="1" showErrorMessage="1" errorTitle="Ошибка" error="Допускается ввод только действительных чисел!" sqref="T24">
      <formula1>-9.99999999999999E+23</formula1>
      <formula2>9.99999999999999E+23</formula2>
    </dataValidation>
    <dataValidation type="decimal" allowBlank="1" showErrorMessage="1" errorTitle="Ошибка" error="Допускается ввод только действительных чисел!" sqref="S24">
      <formula1>-9.99999999999999E+23</formula1>
      <formula2>9.99999999999999E+23</formula2>
    </dataValidation>
    <dataValidation type="decimal" allowBlank="1" showErrorMessage="1" errorTitle="Ошибка" error="Допускается ввод только действительных чисел!" sqref="R24">
      <formula1>-9.99999999999999E+23</formula1>
      <formula2>9.99999999999999E+23</formula2>
    </dataValidation>
    <dataValidation type="decimal" allowBlank="1" showErrorMessage="1" errorTitle="Ошибка" error="Допускается ввод только действительных чисел!" sqref="Q24">
      <formula1>-9.99999999999999E+23</formula1>
      <formula2>9.99999999999999E+23</formula2>
    </dataValidation>
    <dataValidation type="decimal" allowBlank="1" showErrorMessage="1" errorTitle="Ошибка" error="Допускается ввод только действительных чисел!" sqref="P24">
      <formula1>-9.99999999999999E+23</formula1>
      <formula2>9.99999999999999E+23</formula2>
    </dataValidation>
    <dataValidation type="decimal" allowBlank="1" showErrorMessage="1" errorTitle="Ошибка" error="Допускается ввод только действительных чисел!" sqref="O2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4">
      <formula1>900</formula1>
    </dataValidation>
    <dataValidation type="list" allowBlank="1" showInputMessage="1" showErrorMessage="1" errorTitle="Ошибка" error="Выберите значение из списка" prompt="Выберите значение из списка" sqref="H24">
      <formula1>QRE_METHOD_LIST</formula1>
    </dataValidation>
    <dataValidation type="decimal" allowBlank="1" showErrorMessage="1" errorTitle="Ошибка" error="Допускается ввод только действительных чисел!" sqref="DJ23">
      <formula1>-9.99999999999999E+23</formula1>
      <formula2>9.99999999999999E+23</formula2>
    </dataValidation>
    <dataValidation type="decimal" allowBlank="1" showErrorMessage="1" errorTitle="Ошибка" error="Допускается ввод только действительных чисел!" sqref="DI23">
      <formula1>-9.99999999999999E+23</formula1>
      <formula2>9.99999999999999E+23</formula2>
    </dataValidation>
    <dataValidation type="decimal" allowBlank="1" showErrorMessage="1" errorTitle="Ошибка" error="Допускается ввод только действительных чисел!" sqref="DH23">
      <formula1>-9.99999999999999E+23</formula1>
      <formula2>9.99999999999999E+23</formula2>
    </dataValidation>
    <dataValidation type="decimal" allowBlank="1" showErrorMessage="1" errorTitle="Ошибка" error="Допускается ввод только действительных чисел!" sqref="DG23">
      <formula1>-9.99999999999999E+23</formula1>
      <formula2>9.99999999999999E+23</formula2>
    </dataValidation>
    <dataValidation type="decimal" allowBlank="1" showErrorMessage="1" errorTitle="Ошибка" error="Допускается ввод только действительных чисел!" sqref="DF23">
      <formula1>-9.99999999999999E+23</formula1>
      <formula2>9.99999999999999E+23</formula2>
    </dataValidation>
    <dataValidation type="decimal" allowBlank="1" showErrorMessage="1" errorTitle="Ошибка" error="Допускается ввод только действительных чисел!" sqref="DE23">
      <formula1>-9.99999999999999E+23</formula1>
      <formula2>9.99999999999999E+23</formula2>
    </dataValidation>
    <dataValidation type="decimal" allowBlank="1" showErrorMessage="1" errorTitle="Ошибка" error="Допускается ввод только действительных чисел!" sqref="DD23">
      <formula1>-9.99999999999999E+23</formula1>
      <formula2>9.99999999999999E+23</formula2>
    </dataValidation>
    <dataValidation type="decimal" allowBlank="1" showErrorMessage="1" errorTitle="Ошибка" error="Допускается ввод только действительных чисел!" sqref="DC23">
      <formula1>-9.99999999999999E+23</formula1>
      <formula2>9.99999999999999E+23</formula2>
    </dataValidation>
    <dataValidation type="decimal" allowBlank="1" showErrorMessage="1" errorTitle="Ошибка" error="Допускается ввод только действительных чисел!" sqref="DB23">
      <formula1>-9.99999999999999E+23</formula1>
      <formula2>9.99999999999999E+23</formula2>
    </dataValidation>
    <dataValidation type="decimal" allowBlank="1" showErrorMessage="1" errorTitle="Ошибка" error="Допускается ввод только действительных чисел!" sqref="DA23">
      <formula1>-9.99999999999999E+23</formula1>
      <formula2>9.99999999999999E+23</formula2>
    </dataValidation>
    <dataValidation type="decimal" allowBlank="1" showErrorMessage="1" errorTitle="Ошибка" error="Допускается ввод только действительных чисел!" sqref="CZ23">
      <formula1>-9.99999999999999E+23</formula1>
      <formula2>9.99999999999999E+23</formula2>
    </dataValidation>
    <dataValidation type="decimal" allowBlank="1" showErrorMessage="1" errorTitle="Ошибка" error="Допускается ввод только действительных чисел!" sqref="CY23">
      <formula1>-9.99999999999999E+23</formula1>
      <formula2>9.99999999999999E+23</formula2>
    </dataValidation>
    <dataValidation type="decimal" allowBlank="1" showErrorMessage="1" errorTitle="Ошибка" error="Допускается ввод только действительных чисел!" sqref="CK23">
      <formula1>-9.99999999999999E+23</formula1>
      <formula2>9.99999999999999E+23</formula2>
    </dataValidation>
    <dataValidation type="decimal" allowBlank="1" showErrorMessage="1" errorTitle="Ошибка" error="Допускается ввод только действительных чисел!" sqref="CJ23">
      <formula1>-9.99999999999999E+23</formula1>
      <formula2>9.99999999999999E+23</formula2>
    </dataValidation>
    <dataValidation type="decimal" allowBlank="1" showErrorMessage="1" errorTitle="Ошибка" error="Допускается ввод только действительных чисел!" sqref="CI23">
      <formula1>-9.99999999999999E+23</formula1>
      <formula2>9.99999999999999E+23</formula2>
    </dataValidation>
    <dataValidation type="decimal" allowBlank="1" showErrorMessage="1" errorTitle="Ошибка" error="Допускается ввод только действительных чисел!" sqref="CH23">
      <formula1>-9.99999999999999E+23</formula1>
      <formula2>9.99999999999999E+23</formula2>
    </dataValidation>
    <dataValidation type="decimal" allowBlank="1" showErrorMessage="1" errorTitle="Ошибка" error="Допускается ввод только действительных чисел!" sqref="CG23">
      <formula1>-9.99999999999999E+23</formula1>
      <formula2>9.99999999999999E+23</formula2>
    </dataValidation>
    <dataValidation type="decimal" allowBlank="1" showErrorMessage="1" errorTitle="Ошибка" error="Допускается ввод только действительных чисел!" sqref="CF23">
      <formula1>-9.99999999999999E+23</formula1>
      <formula2>9.99999999999999E+23</formula2>
    </dataValidation>
    <dataValidation type="decimal" allowBlank="1" showErrorMessage="1" errorTitle="Ошибка" error="Допускается ввод только действительных чисел!" sqref="CE23">
      <formula1>-9.99999999999999E+23</formula1>
      <formula2>9.99999999999999E+23</formula2>
    </dataValidation>
    <dataValidation type="decimal" allowBlank="1" showErrorMessage="1" errorTitle="Ошибка" error="Допускается ввод только действительных чисел!" sqref="CD23">
      <formula1>-9.99999999999999E+23</formula1>
      <formula2>9.99999999999999E+23</formula2>
    </dataValidation>
    <dataValidation type="decimal" allowBlank="1" showErrorMessage="1" errorTitle="Ошибка" error="Допускается ввод только действительных чисел!" sqref="CC23">
      <formula1>-9.99999999999999E+23</formula1>
      <formula2>9.99999999999999E+23</formula2>
    </dataValidation>
    <dataValidation type="decimal" allowBlank="1" showErrorMessage="1" errorTitle="Ошибка" error="Допускается ввод только действительных чисел!" sqref="CB23">
      <formula1>-9.99999999999999E+23</formula1>
      <formula2>9.99999999999999E+23</formula2>
    </dataValidation>
    <dataValidation type="decimal" allowBlank="1" showErrorMessage="1" errorTitle="Ошибка" error="Допускается ввод только действительных чисел!" sqref="CA23">
      <formula1>-9.99999999999999E+23</formula1>
      <formula2>9.99999999999999E+23</formula2>
    </dataValidation>
    <dataValidation type="decimal" allowBlank="1" showErrorMessage="1" errorTitle="Ошибка" error="Допускается ввод только действительных чисел!" sqref="BZ23">
      <formula1>-9.99999999999999E+23</formula1>
      <formula2>9.99999999999999E+23</formula2>
    </dataValidation>
    <dataValidation type="decimal" allowBlank="1" showErrorMessage="1" errorTitle="Ошибка" error="Допускается ввод только действительных чисел!" sqref="BY23">
      <formula1>-9.99999999999999E+23</formula1>
      <formula2>9.99999999999999E+23</formula2>
    </dataValidation>
    <dataValidation type="decimal" allowBlank="1" showErrorMessage="1" errorTitle="Ошибка" error="Допускается ввод только действительных чисел!" sqref="BX23">
      <formula1>-9.99999999999999E+23</formula1>
      <formula2>9.99999999999999E+23</formula2>
    </dataValidation>
    <dataValidation type="decimal" allowBlank="1" showErrorMessage="1" errorTitle="Ошибка" error="Допускается ввод только действительных чисел!" sqref="BW23">
      <formula1>-9.99999999999999E+23</formula1>
      <formula2>9.99999999999999E+23</formula2>
    </dataValidation>
    <dataValidation type="decimal" allowBlank="1" showErrorMessage="1" errorTitle="Ошибка" error="Допускается ввод только действительных чисел!" sqref="BV23">
      <formula1>-9.99999999999999E+23</formula1>
      <formula2>9.99999999999999E+23</formula2>
    </dataValidation>
    <dataValidation type="decimal" allowBlank="1" showErrorMessage="1" errorTitle="Ошибка" error="Допускается ввод только действительных чисел!" sqref="BU23">
      <formula1>-9.99999999999999E+23</formula1>
      <formula2>9.99999999999999E+23</formula2>
    </dataValidation>
    <dataValidation type="decimal" allowBlank="1" showErrorMessage="1" errorTitle="Ошибка" error="Допускается ввод только действительных чисел!" sqref="BT23">
      <formula1>-9.99999999999999E+23</formula1>
      <formula2>9.99999999999999E+23</formula2>
    </dataValidation>
    <dataValidation type="decimal" allowBlank="1" showErrorMessage="1" errorTitle="Ошибка" error="Допускается ввод только действительных чисел!" sqref="AB23">
      <formula1>-9.99999999999999E+23</formula1>
      <formula2>9.99999999999999E+23</formula2>
    </dataValidation>
    <dataValidation type="decimal" allowBlank="1" showErrorMessage="1" errorTitle="Ошибка" error="Допускается ввод только действительных чисел!" sqref="AA23">
      <formula1>-9.99999999999999E+23</formula1>
      <formula2>9.99999999999999E+23</formula2>
    </dataValidation>
    <dataValidation type="decimal" allowBlank="1" showErrorMessage="1" errorTitle="Ошибка" error="Допускается ввод только действительных чисел!" sqref="Z23">
      <formula1>-9.99999999999999E+23</formula1>
      <formula2>9.99999999999999E+23</formula2>
    </dataValidation>
    <dataValidation type="decimal" allowBlank="1" showErrorMessage="1" errorTitle="Ошибка" error="Допускается ввод только действительных чисел!" sqref="Y23">
      <formula1>-9.99999999999999E+23</formula1>
      <formula2>9.99999999999999E+23</formula2>
    </dataValidation>
    <dataValidation type="decimal" allowBlank="1" showErrorMessage="1" errorTitle="Ошибка" error="Допускается ввод только действительных чисел!" sqref="X23">
      <formula1>-9.99999999999999E+23</formula1>
      <formula2>9.99999999999999E+23</formula2>
    </dataValidation>
    <dataValidation type="decimal" allowBlank="1" showErrorMessage="1" errorTitle="Ошибка" error="Допускается ввод только действительных чисел!" sqref="W23">
      <formula1>-9.99999999999999E+23</formula1>
      <formula2>9.99999999999999E+23</formula2>
    </dataValidation>
    <dataValidation type="decimal" allowBlank="1" showErrorMessage="1" errorTitle="Ошибка" error="Допускается ввод только действительных чисел!" sqref="V23">
      <formula1>-9.99999999999999E+23</formula1>
      <formula2>9.99999999999999E+23</formula2>
    </dataValidation>
    <dataValidation type="decimal" allowBlank="1" showErrorMessage="1" errorTitle="Ошибка" error="Допускается ввод только действительных чисел!" sqref="U23">
      <formula1>-9.99999999999999E+23</formula1>
      <formula2>9.99999999999999E+23</formula2>
    </dataValidation>
    <dataValidation type="decimal" allowBlank="1" showErrorMessage="1" errorTitle="Ошибка" error="Допускается ввод только действительных чисел!" sqref="T23">
      <formula1>-9.99999999999999E+23</formula1>
      <formula2>9.99999999999999E+23</formula2>
    </dataValidation>
    <dataValidation type="decimal" allowBlank="1" showErrorMessage="1" errorTitle="Ошибка" error="Допускается ввод только действительных чисел!" sqref="S23">
      <formula1>-9.99999999999999E+23</formula1>
      <formula2>9.99999999999999E+23</formula2>
    </dataValidation>
    <dataValidation type="decimal" allowBlank="1" showErrorMessage="1" errorTitle="Ошибка" error="Допускается ввод только действительных чисел!" sqref="R23">
      <formula1>-9.99999999999999E+23</formula1>
      <formula2>9.99999999999999E+23</formula2>
    </dataValidation>
    <dataValidation type="decimal" allowBlank="1" showErrorMessage="1" errorTitle="Ошибка" error="Допускается ввод только действительных чисел!" sqref="Q23">
      <formula1>-9.99999999999999E+23</formula1>
      <formula2>9.99999999999999E+23</formula2>
    </dataValidation>
    <dataValidation type="decimal" allowBlank="1" showErrorMessage="1" errorTitle="Ошибка" error="Допускается ввод только действительных чисел!" sqref="P23">
      <formula1>-9.99999999999999E+23</formula1>
      <formula2>9.99999999999999E+23</formula2>
    </dataValidation>
    <dataValidation type="decimal" allowBlank="1" showErrorMessage="1" errorTitle="Ошибка" error="Допускается ввод только действительных чисел!" sqref="O2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3">
      <formula1>900</formula1>
    </dataValidation>
    <dataValidation type="list" allowBlank="1" showInputMessage="1" showErrorMessage="1" errorTitle="Ошибка" error="Выберите значение из списка" prompt="Выберите значение из списка" sqref="H23">
      <formula1>QRE_METHOD_LIST</formula1>
    </dataValidation>
    <dataValidation allowBlank="1" showInputMessage="1" showErrorMessage="1" sqref="AA14:AB16 U16:Z16"/>
    <dataValidation type="list" allowBlank="1" showInputMessage="1" showErrorMessage="1" errorTitle="Ошибка" error="Выберите значение из списка" prompt="Выберите значение из списка" sqref="H22">
      <formula1>QRE_METHOD_LIST</formula1>
    </dataValidation>
    <dataValidation type="textLength" operator="lessThanOrEqual" allowBlank="1" showInputMessage="1" showErrorMessage="1" errorTitle="Ошибка" error="Допускается ввод не более 900 символов!" sqref="I22">
      <formula1>900</formula1>
    </dataValidation>
    <dataValidation type="decimal" allowBlank="1" showErrorMessage="1" errorTitle="Ошибка" error="Допускается ввод только действительных чисел!" sqref="O22">
      <formula1>-9.99999999999999E+23</formula1>
      <formula2>9.99999999999999E+23</formula2>
    </dataValidation>
    <dataValidation type="decimal" allowBlank="1" showErrorMessage="1" errorTitle="Ошибка" error="Допускается ввод только действительных чисел!" sqref="P22">
      <formula1>-9.99999999999999E+23</formula1>
      <formula2>9.99999999999999E+23</formula2>
    </dataValidation>
    <dataValidation type="decimal" allowBlank="1" showErrorMessage="1" errorTitle="Ошибка" error="Допускается ввод только действительных чисел!" sqref="Q22">
      <formula1>-9.99999999999999E+23</formula1>
      <formula2>9.99999999999999E+23</formula2>
    </dataValidation>
    <dataValidation type="decimal" allowBlank="1" showErrorMessage="1" errorTitle="Ошибка" error="Допускается ввод только действительных чисел!" sqref="R22">
      <formula1>-9.99999999999999E+23</formula1>
      <formula2>9.99999999999999E+23</formula2>
    </dataValidation>
    <dataValidation type="decimal" allowBlank="1" showErrorMessage="1" errorTitle="Ошибка" error="Допускается ввод только действительных чисел!" sqref="S22">
      <formula1>-9.99999999999999E+23</formula1>
      <formula2>9.99999999999999E+23</formula2>
    </dataValidation>
    <dataValidation type="decimal" allowBlank="1" showErrorMessage="1" errorTitle="Ошибка" error="Допускается ввод только действительных чисел!" sqref="T22">
      <formula1>-9.99999999999999E+23</formula1>
      <formula2>9.99999999999999E+23</formula2>
    </dataValidation>
    <dataValidation type="decimal" allowBlank="1" showErrorMessage="1" errorTitle="Ошибка" error="Допускается ввод только действительных чисел!" sqref="U22">
      <formula1>-9.99999999999999E+23</formula1>
      <formula2>9.99999999999999E+23</formula2>
    </dataValidation>
    <dataValidation type="decimal" allowBlank="1" showErrorMessage="1" errorTitle="Ошибка" error="Допускается ввод только действительных чисел!" sqref="V22">
      <formula1>-9.99999999999999E+23</formula1>
      <formula2>9.99999999999999E+23</formula2>
    </dataValidation>
    <dataValidation type="decimal" allowBlank="1" showErrorMessage="1" errorTitle="Ошибка" error="Допускается ввод только действительных чисел!" sqref="W22">
      <formula1>-9.99999999999999E+23</formula1>
      <formula2>9.99999999999999E+23</formula2>
    </dataValidation>
    <dataValidation type="decimal" allowBlank="1" showErrorMessage="1" errorTitle="Ошибка" error="Допускается ввод только действительных чисел!" sqref="X22">
      <formula1>-9.99999999999999E+23</formula1>
      <formula2>9.99999999999999E+23</formula2>
    </dataValidation>
    <dataValidation type="decimal" allowBlank="1" showErrorMessage="1" errorTitle="Ошибка" error="Допускается ввод только действительных чисел!" sqref="Y22">
      <formula1>-9.99999999999999E+23</formula1>
      <formula2>9.99999999999999E+23</formula2>
    </dataValidation>
    <dataValidation type="decimal" allowBlank="1" showErrorMessage="1" errorTitle="Ошибка" error="Допускается ввод только действительных чисел!" sqref="Z22">
      <formula1>-9.99999999999999E+23</formula1>
      <formula2>9.99999999999999E+23</formula2>
    </dataValidation>
    <dataValidation type="decimal" allowBlank="1" showErrorMessage="1" errorTitle="Ошибка" error="Допускается ввод только действительных чисел!" sqref="AA22">
      <formula1>-9.99999999999999E+23</formula1>
      <formula2>9.99999999999999E+23</formula2>
    </dataValidation>
    <dataValidation type="decimal" allowBlank="1" showErrorMessage="1" errorTitle="Ошибка" error="Допускается ввод только действительных чисел!" sqref="AB22">
      <formula1>-9.99999999999999E+23</formula1>
      <formula2>9.99999999999999E+23</formula2>
    </dataValidation>
    <dataValidation type="decimal" allowBlank="1" showErrorMessage="1" errorTitle="Ошибка" error="Допускается ввод только действительных чисел!" sqref="BT22">
      <formula1>-9.99999999999999E+23</formula1>
      <formula2>9.99999999999999E+23</formula2>
    </dataValidation>
    <dataValidation type="decimal" allowBlank="1" showErrorMessage="1" errorTitle="Ошибка" error="Допускается ввод только действительных чисел!" sqref="BU22">
      <formula1>-9.99999999999999E+23</formula1>
      <formula2>9.99999999999999E+23</formula2>
    </dataValidation>
    <dataValidation type="decimal" allowBlank="1" showErrorMessage="1" errorTitle="Ошибка" error="Допускается ввод только действительных чисел!" sqref="BV22">
      <formula1>-9.99999999999999E+23</formula1>
      <formula2>9.99999999999999E+23</formula2>
    </dataValidation>
    <dataValidation type="decimal" allowBlank="1" showErrorMessage="1" errorTitle="Ошибка" error="Допускается ввод только действительных чисел!" sqref="BW22">
      <formula1>-9.99999999999999E+23</formula1>
      <formula2>9.99999999999999E+23</formula2>
    </dataValidation>
    <dataValidation type="decimal" allowBlank="1" showErrorMessage="1" errorTitle="Ошибка" error="Допускается ввод только действительных чисел!" sqref="BX22">
      <formula1>-9.99999999999999E+23</formula1>
      <formula2>9.99999999999999E+23</formula2>
    </dataValidation>
    <dataValidation type="decimal" allowBlank="1" showErrorMessage="1" errorTitle="Ошибка" error="Допускается ввод только действительных чисел!" sqref="BY22">
      <formula1>-9.99999999999999E+23</formula1>
      <formula2>9.99999999999999E+23</formula2>
    </dataValidation>
    <dataValidation type="decimal" allowBlank="1" showErrorMessage="1" errorTitle="Ошибка" error="Допускается ввод только действительных чисел!" sqref="BZ22">
      <formula1>-9.99999999999999E+23</formula1>
      <formula2>9.99999999999999E+23</formula2>
    </dataValidation>
    <dataValidation type="decimal" allowBlank="1" showErrorMessage="1" errorTitle="Ошибка" error="Допускается ввод только действительных чисел!" sqref="CA22">
      <formula1>-9.99999999999999E+23</formula1>
      <formula2>9.99999999999999E+23</formula2>
    </dataValidation>
    <dataValidation type="decimal" allowBlank="1" showErrorMessage="1" errorTitle="Ошибка" error="Допускается ввод только действительных чисел!" sqref="CB22">
      <formula1>-9.99999999999999E+23</formula1>
      <formula2>9.99999999999999E+23</formula2>
    </dataValidation>
    <dataValidation type="decimal" allowBlank="1" showErrorMessage="1" errorTitle="Ошибка" error="Допускается ввод только действительных чисел!" sqref="CC22">
      <formula1>-9.99999999999999E+23</formula1>
      <formula2>9.99999999999999E+23</formula2>
    </dataValidation>
    <dataValidation type="decimal" allowBlank="1" showErrorMessage="1" errorTitle="Ошибка" error="Допускается ввод только действительных чисел!" sqref="CD22">
      <formula1>-9.99999999999999E+23</formula1>
      <formula2>9.99999999999999E+23</formula2>
    </dataValidation>
    <dataValidation type="decimal" allowBlank="1" showErrorMessage="1" errorTitle="Ошибка" error="Допускается ввод только действительных чисел!" sqref="CE22">
      <formula1>-9.99999999999999E+23</formula1>
      <formula2>9.99999999999999E+23</formula2>
    </dataValidation>
    <dataValidation type="decimal" allowBlank="1" showErrorMessage="1" errorTitle="Ошибка" error="Допускается ввод только действительных чисел!" sqref="CF22">
      <formula1>-9.99999999999999E+23</formula1>
      <formula2>9.99999999999999E+23</formula2>
    </dataValidation>
    <dataValidation type="decimal" allowBlank="1" showErrorMessage="1" errorTitle="Ошибка" error="Допускается ввод только действительных чисел!" sqref="CG22">
      <formula1>-9.99999999999999E+23</formula1>
      <formula2>9.99999999999999E+23</formula2>
    </dataValidation>
    <dataValidation type="decimal" allowBlank="1" showErrorMessage="1" errorTitle="Ошибка" error="Допускается ввод только действительных чисел!" sqref="CH22">
      <formula1>-9.99999999999999E+23</formula1>
      <formula2>9.99999999999999E+23</formula2>
    </dataValidation>
    <dataValidation type="decimal" allowBlank="1" showErrorMessage="1" errorTitle="Ошибка" error="Допускается ввод только действительных чисел!" sqref="CI22">
      <formula1>-9.99999999999999E+23</formula1>
      <formula2>9.99999999999999E+23</formula2>
    </dataValidation>
    <dataValidation type="decimal" allowBlank="1" showErrorMessage="1" errorTitle="Ошибка" error="Допускается ввод только действительных чисел!" sqref="CJ22">
      <formula1>-9.99999999999999E+23</formula1>
      <formula2>9.99999999999999E+23</formula2>
    </dataValidation>
    <dataValidation type="decimal" allowBlank="1" showErrorMessage="1" errorTitle="Ошибка" error="Допускается ввод только действительных чисел!" sqref="CK22">
      <formula1>-9.99999999999999E+23</formula1>
      <formula2>9.99999999999999E+23</formula2>
    </dataValidation>
    <dataValidation type="decimal" allowBlank="1" showErrorMessage="1" errorTitle="Ошибка" error="Допускается ввод только действительных чисел!" sqref="CY22">
      <formula1>-9.99999999999999E+23</formula1>
      <formula2>9.99999999999999E+23</formula2>
    </dataValidation>
    <dataValidation type="decimal" allowBlank="1" showErrorMessage="1" errorTitle="Ошибка" error="Допускается ввод только действительных чисел!" sqref="CZ22">
      <formula1>-9.99999999999999E+23</formula1>
      <formula2>9.99999999999999E+23</formula2>
    </dataValidation>
    <dataValidation type="decimal" allowBlank="1" showErrorMessage="1" errorTitle="Ошибка" error="Допускается ввод только действительных чисел!" sqref="DA22">
      <formula1>-9.99999999999999E+23</formula1>
      <formula2>9.99999999999999E+23</formula2>
    </dataValidation>
    <dataValidation type="decimal" allowBlank="1" showErrorMessage="1" errorTitle="Ошибка" error="Допускается ввод только действительных чисел!" sqref="DB22">
      <formula1>-9.99999999999999E+23</formula1>
      <formula2>9.99999999999999E+23</formula2>
    </dataValidation>
    <dataValidation type="decimal" allowBlank="1" showErrorMessage="1" errorTitle="Ошибка" error="Допускается ввод только действительных чисел!" sqref="DC22">
      <formula1>-9.99999999999999E+23</formula1>
      <formula2>9.99999999999999E+23</formula2>
    </dataValidation>
    <dataValidation type="decimal" allowBlank="1" showErrorMessage="1" errorTitle="Ошибка" error="Допускается ввод только действительных чисел!" sqref="DD22">
      <formula1>-9.99999999999999E+23</formula1>
      <formula2>9.99999999999999E+23</formula2>
    </dataValidation>
    <dataValidation type="decimal" allowBlank="1" showErrorMessage="1" errorTitle="Ошибка" error="Допускается ввод только действительных чисел!" sqref="DE22">
      <formula1>-9.99999999999999E+23</formula1>
      <formula2>9.99999999999999E+23</formula2>
    </dataValidation>
    <dataValidation type="decimal" allowBlank="1" showErrorMessage="1" errorTitle="Ошибка" error="Допускается ввод только действительных чисел!" sqref="DF22">
      <formula1>-9.99999999999999E+23</formula1>
      <formula2>9.99999999999999E+23</formula2>
    </dataValidation>
    <dataValidation type="decimal" allowBlank="1" showErrorMessage="1" errorTitle="Ошибка" error="Допускается ввод только действительных чисел!" sqref="DG22">
      <formula1>-9.99999999999999E+23</formula1>
      <formula2>9.99999999999999E+23</formula2>
    </dataValidation>
    <dataValidation type="decimal" allowBlank="1" showErrorMessage="1" errorTitle="Ошибка" error="Допускается ввод только действительных чисел!" sqref="DH22">
      <formula1>-9.99999999999999E+23</formula1>
      <formula2>9.99999999999999E+23</formula2>
    </dataValidation>
    <dataValidation type="decimal" allowBlank="1" showErrorMessage="1" errorTitle="Ошибка" error="Допускается ввод только действительных чисел!" sqref="DI22">
      <formula1>-9.99999999999999E+23</formula1>
      <formula2>9.99999999999999E+23</formula2>
    </dataValidation>
    <dataValidation type="decimal" allowBlank="1" showErrorMessage="1" errorTitle="Ошибка" error="Допускается ввод только действительных чисел!" sqref="DJ22">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X23"/>
  <sheetViews>
    <sheetView showGridLines="0" zoomScale="90" workbookViewId="0">
      <pane xSplit="7" ySplit="14" topLeftCell="M15" activePane="bottomRight" state="frozen"/>
      <selection pane="topRight" activeCell="H1" sqref="H1"/>
      <selection pane="bottomLeft" activeCell="A15" sqref="A15"/>
      <selection pane="bottomRight" activeCell="M8" sqref="M8"/>
    </sheetView>
  </sheetViews>
  <sheetFormatPr defaultColWidth="10.5703125" defaultRowHeight="15" customHeight="1"/>
  <cols>
    <col min="1" max="1" width="9.140625" style="1555" hidden="1" customWidth="1"/>
    <col min="2" max="2" width="9.140625" style="1558" hidden="1" customWidth="1"/>
    <col min="3" max="3" width="4" style="619" customWidth="1"/>
    <col min="4" max="4" width="6" style="1558" customWidth="1"/>
    <col min="5" max="5" width="36" style="1558" customWidth="1"/>
    <col min="6" max="6" width="9" style="1558" customWidth="1"/>
    <col min="7" max="7" width="42.42578125" style="1558" hidden="1" customWidth="1"/>
    <col min="8" max="8" width="40.7109375" style="1558" customWidth="1"/>
    <col min="9" max="13" width="42.42578125" style="1558" customWidth="1"/>
    <col min="14" max="14" width="93" style="1289" customWidth="1"/>
    <col min="15" max="22" width="10" style="1558" customWidth="1"/>
    <col min="23" max="23" width="10" style="611" customWidth="1"/>
    <col min="24" max="24" width="10.5703125" style="1558" hidden="1"/>
  </cols>
  <sheetData>
    <row r="1" spans="1:24" s="1289" customFormat="1" ht="15" hidden="1" customHeight="1">
      <c r="C1" s="608"/>
      <c r="H1" s="353">
        <v>4</v>
      </c>
      <c r="W1" s="356"/>
      <c r="X1" s="353" t="s">
        <v>14</v>
      </c>
    </row>
    <row r="2" spans="1:24" ht="22.5" hidden="1" customHeight="1">
      <c r="C2" s="1842" t="s">
        <v>104</v>
      </c>
      <c r="D2" s="475"/>
      <c r="E2" s="599"/>
      <c r="F2" s="1682" t="str">
        <f>IF(TEMPLATE_SPHERE="HEAT","Гкал/час","тыс. куб. м/сутки")</f>
        <v>Гкал/час</v>
      </c>
      <c r="G2" s="616"/>
      <c r="H2" s="616"/>
      <c r="I2" s="616"/>
      <c r="J2" s="616"/>
      <c r="K2" s="616"/>
      <c r="L2" s="616"/>
      <c r="M2" s="616"/>
      <c r="N2" s="226"/>
      <c r="X2" s="441">
        <v>0</v>
      </c>
    </row>
    <row r="3" spans="1:24" s="1289" customFormat="1" ht="15" hidden="1" customHeight="1">
      <c r="C3" s="608"/>
      <c r="W3" s="356"/>
      <c r="X3" s="353">
        <v>0</v>
      </c>
    </row>
    <row r="4" spans="1:24" ht="15.75" customHeight="1">
      <c r="C4" s="113"/>
      <c r="D4" s="445"/>
      <c r="E4" s="445"/>
      <c r="F4" s="445"/>
      <c r="G4" s="445"/>
      <c r="H4" s="445"/>
      <c r="X4" s="441">
        <v>15</v>
      </c>
    </row>
    <row r="5" spans="1:24" ht="39.75" customHeight="1">
      <c r="C5" s="113"/>
      <c r="D5" s="2490"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490"/>
      <c r="F5" s="2490"/>
      <c r="G5" s="2490"/>
      <c r="H5" s="2490"/>
      <c r="I5" s="2017"/>
      <c r="J5" s="2017"/>
      <c r="K5" s="2017"/>
      <c r="L5" s="2017"/>
      <c r="M5" s="2017"/>
      <c r="N5" s="473"/>
      <c r="X5" s="441">
        <v>38</v>
      </c>
    </row>
    <row r="6" spans="1:24" ht="15.75" customHeight="1">
      <c r="C6" s="113"/>
      <c r="D6" s="2436" t="str">
        <f>IF(org=0,"Не определено",org)</f>
        <v>ПАО "ТГК-2"</v>
      </c>
      <c r="E6" s="2436"/>
      <c r="F6" s="2436"/>
      <c r="G6" s="2436"/>
      <c r="H6" s="2436"/>
      <c r="I6" s="2018"/>
      <c r="J6" s="2018"/>
      <c r="K6" s="2018"/>
      <c r="L6" s="2018"/>
      <c r="M6" s="2018"/>
      <c r="N6" s="473"/>
      <c r="X6" s="441">
        <v>15</v>
      </c>
    </row>
    <row r="7" spans="1:24" s="1558" customFormat="1" ht="15.75" customHeight="1">
      <c r="A7" s="692"/>
      <c r="C7" s="113"/>
      <c r="D7" s="612"/>
      <c r="E7" s="612"/>
      <c r="F7" s="612"/>
      <c r="G7" s="612"/>
      <c r="H7" s="687"/>
      <c r="I7" s="2033" t="s">
        <v>22</v>
      </c>
      <c r="J7" s="2033" t="s">
        <v>22</v>
      </c>
      <c r="K7" s="2033" t="s">
        <v>22</v>
      </c>
      <c r="L7" s="2033" t="s">
        <v>22</v>
      </c>
      <c r="M7" s="2033" t="s">
        <v>22</v>
      </c>
      <c r="N7" s="473"/>
      <c r="W7" s="611"/>
      <c r="X7" s="691">
        <v>15</v>
      </c>
    </row>
    <row r="8" spans="1:24" ht="1.1499999999999999" customHeight="1">
      <c r="C8" s="113"/>
      <c r="D8" s="445"/>
      <c r="E8" s="445"/>
      <c r="F8" s="445"/>
      <c r="G8" s="445"/>
      <c r="H8" s="473" t="s">
        <v>129</v>
      </c>
      <c r="I8" s="1558" t="s">
        <v>135</v>
      </c>
      <c r="J8" s="1558" t="s">
        <v>137</v>
      </c>
      <c r="K8" s="1558" t="s">
        <v>140</v>
      </c>
      <c r="L8" s="1558" t="s">
        <v>139</v>
      </c>
      <c r="M8" s="1558" t="s">
        <v>133</v>
      </c>
      <c r="X8" s="441">
        <v>1</v>
      </c>
    </row>
    <row r="9" spans="1:24" ht="15.75" customHeight="1">
      <c r="C9" s="113"/>
      <c r="D9" s="647"/>
      <c r="E9" s="2591" t="s">
        <v>119</v>
      </c>
      <c r="F9" s="2592"/>
      <c r="G9" s="745" t="str">
        <f t="shared" ref="G9:M9" si="0">IF(G8="","",INDEX(DIFFERENTIATION_UNMERGE_VD,MATCH(G8,DIFFERENTIATION_ID_DIFF,0)))</f>
        <v/>
      </c>
      <c r="H9" s="745" t="str">
        <f t="shared" si="0"/>
        <v>Производство тепловой энергии. Комбинированная выработка с уст. мощностью производства электрической энергии 25 МВт и более</v>
      </c>
      <c r="I9" s="2031" t="str">
        <f t="shared" si="0"/>
        <v>Производство тепловой энергии. Некомбинированная выработка</v>
      </c>
      <c r="J9" s="2031" t="str">
        <f t="shared" si="0"/>
        <v>Передача. Тепловая энергия; Сбыт. Тепловая энергия</v>
      </c>
      <c r="K9" s="2031" t="str">
        <f t="shared" si="0"/>
        <v>Производство. Теплоноситель; Сбыт. Теплоноситель</v>
      </c>
      <c r="L9" s="2031" t="str">
        <f t="shared" si="0"/>
        <v>Передача. Тепловая энергия; Сбыт. Тепловая энергия</v>
      </c>
      <c r="M9" s="2031" t="str">
        <f t="shared" si="0"/>
        <v>Производство тепловой энергии. Комбинированная выработка с уст. мощностью производства электрической энергии 25 МВт и более</v>
      </c>
      <c r="N9" s="2371" t="s">
        <v>320</v>
      </c>
      <c r="X9" s="441">
        <v>15</v>
      </c>
    </row>
    <row r="10" spans="1:24" s="1558" customFormat="1" ht="15.75" customHeight="1">
      <c r="A10" s="692"/>
      <c r="C10" s="113"/>
      <c r="D10" s="647"/>
      <c r="E10" s="2591" t="s">
        <v>581</v>
      </c>
      <c r="F10" s="2592"/>
      <c r="G10" s="745" t="str">
        <f t="shared" ref="G10:M10" si="1">IF(G8="","",INDEX(DIFFERENTIATION_UNMERGE_AREA,MATCH(G8,DIFFERENTIATION_ID_DIFF,0)))</f>
        <v/>
      </c>
      <c r="H10" s="745" t="str">
        <f t="shared" si="1"/>
        <v>Территория 1</v>
      </c>
      <c r="I10" s="2031" t="str">
        <f t="shared" si="1"/>
        <v>Территория 1</v>
      </c>
      <c r="J10" s="2031" t="str">
        <f t="shared" si="1"/>
        <v>Территория 1</v>
      </c>
      <c r="K10" s="2031" t="str">
        <f t="shared" si="1"/>
        <v>Территория 2</v>
      </c>
      <c r="L10" s="2031" t="str">
        <f t="shared" si="1"/>
        <v>Территория 2</v>
      </c>
      <c r="M10" s="2031" t="str">
        <f t="shared" si="1"/>
        <v>Территория 2</v>
      </c>
      <c r="N10" s="2371"/>
      <c r="W10" s="611"/>
      <c r="X10" s="691">
        <v>15</v>
      </c>
    </row>
    <row r="11" spans="1:24" s="1558" customFormat="1" ht="15.75" customHeight="1">
      <c r="A11" s="692"/>
      <c r="C11" s="113"/>
      <c r="D11" s="647"/>
      <c r="E11" s="2591" t="s">
        <v>582</v>
      </c>
      <c r="F11" s="2592"/>
      <c r="G11" s="745" t="str">
        <f t="shared" ref="G11:M11" si="2">IF(G8="","",INDEX(DIFFERENTIATION_UNMERGE_SYSTEM,MATCH(G8,DIFFERENTIATION_ID_DIFF,0)))</f>
        <v/>
      </c>
      <c r="H11" s="745" t="str">
        <f t="shared" si="2"/>
        <v>без дифференциации</v>
      </c>
      <c r="I11" s="2031" t="str">
        <f t="shared" si="2"/>
        <v>без дифференциации</v>
      </c>
      <c r="J11" s="2031" t="str">
        <f t="shared" si="2"/>
        <v>без дифференциации</v>
      </c>
      <c r="K11" s="2031" t="str">
        <f t="shared" si="2"/>
        <v>без дифференциации</v>
      </c>
      <c r="L11" s="2031" t="str">
        <f t="shared" si="2"/>
        <v>без дифференциации</v>
      </c>
      <c r="M11" s="2031" t="str">
        <f t="shared" si="2"/>
        <v>без дифференциации</v>
      </c>
      <c r="N11" s="2371"/>
      <c r="W11" s="611"/>
      <c r="X11" s="691">
        <v>15</v>
      </c>
    </row>
    <row r="12" spans="1:24" s="1558" customFormat="1" ht="15.75" customHeight="1">
      <c r="A12" s="692"/>
      <c r="C12" s="113"/>
      <c r="D12" s="2593" t="s">
        <v>319</v>
      </c>
      <c r="E12" s="2594"/>
      <c r="F12" s="2594"/>
      <c r="G12" s="815"/>
      <c r="H12" s="815"/>
      <c r="I12" s="2027"/>
      <c r="J12" s="2027"/>
      <c r="K12" s="2027"/>
      <c r="L12" s="2027"/>
      <c r="M12" s="2027"/>
      <c r="N12" s="2371"/>
      <c r="W12" s="611"/>
      <c r="X12" s="691">
        <v>15</v>
      </c>
    </row>
    <row r="13" spans="1:24" ht="35.65" customHeight="1">
      <c r="C13" s="113"/>
      <c r="D13" s="694" t="s">
        <v>89</v>
      </c>
      <c r="E13" s="693" t="s">
        <v>321</v>
      </c>
      <c r="F13" s="693" t="s">
        <v>583</v>
      </c>
      <c r="G13" s="737" t="s">
        <v>322</v>
      </c>
      <c r="H13" s="689" t="s">
        <v>322</v>
      </c>
      <c r="I13" s="2020" t="s">
        <v>322</v>
      </c>
      <c r="J13" s="2020" t="s">
        <v>322</v>
      </c>
      <c r="K13" s="2020" t="s">
        <v>322</v>
      </c>
      <c r="L13" s="2020" t="s">
        <v>322</v>
      </c>
      <c r="M13" s="2020" t="s">
        <v>322</v>
      </c>
      <c r="N13" s="2371"/>
      <c r="X13" s="441">
        <v>34</v>
      </c>
    </row>
    <row r="14" spans="1:24" ht="15" hidden="1" customHeight="1">
      <c r="C14" s="113"/>
      <c r="D14" s="529" t="s">
        <v>100</v>
      </c>
      <c r="E14" s="529" t="s">
        <v>103</v>
      </c>
      <c r="F14" s="529" t="s">
        <v>91</v>
      </c>
      <c r="G14" s="595" t="str">
        <f t="shared" ref="G14:M14" si="3">G1&amp;".1"</f>
        <v>.1</v>
      </c>
      <c r="H14" s="595" t="str">
        <f t="shared" si="3"/>
        <v>4.1</v>
      </c>
      <c r="I14" s="619" t="str">
        <f t="shared" si="3"/>
        <v>.1</v>
      </c>
      <c r="J14" s="619" t="str">
        <f t="shared" si="3"/>
        <v>.1</v>
      </c>
      <c r="K14" s="619" t="str">
        <f t="shared" si="3"/>
        <v>.1</v>
      </c>
      <c r="L14" s="619" t="str">
        <f t="shared" si="3"/>
        <v>.1</v>
      </c>
      <c r="M14" s="619" t="str">
        <f t="shared" si="3"/>
        <v>.1</v>
      </c>
      <c r="N14" s="226"/>
      <c r="X14" s="441">
        <v>0</v>
      </c>
    </row>
    <row r="15" spans="1:24" ht="15.75" customHeight="1">
      <c r="A15" s="441"/>
      <c r="C15" s="462"/>
      <c r="D15" s="457">
        <v>1</v>
      </c>
      <c r="E15" s="1844" t="str">
        <f>TP_P_A</f>
        <v>Количество поданных заявок</v>
      </c>
      <c r="F15" s="457" t="s">
        <v>1318</v>
      </c>
      <c r="G15" s="621"/>
      <c r="H15" s="621"/>
      <c r="I15" s="621"/>
      <c r="J15" s="621"/>
      <c r="K15" s="621"/>
      <c r="L15" s="621"/>
      <c r="M15" s="621"/>
      <c r="N15" s="14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X15" s="441">
        <v>15</v>
      </c>
    </row>
    <row r="16" spans="1:24" ht="15.75" customHeight="1">
      <c r="A16" s="441"/>
      <c r="C16" s="462"/>
      <c r="D16" s="457">
        <v>2</v>
      </c>
      <c r="E16" s="1844" t="str">
        <f>TP_P_B</f>
        <v>Количество рассмотренных заявок</v>
      </c>
      <c r="F16" s="457" t="s">
        <v>1318</v>
      </c>
      <c r="G16" s="621"/>
      <c r="H16" s="621"/>
      <c r="I16" s="621"/>
      <c r="J16" s="621"/>
      <c r="K16" s="621"/>
      <c r="L16" s="621"/>
      <c r="M16" s="621"/>
      <c r="N16" s="14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X16" s="441">
        <v>15</v>
      </c>
    </row>
    <row r="17" spans="1:24" ht="77.650000000000006" customHeight="1">
      <c r="A17" s="441"/>
      <c r="C17" s="462"/>
      <c r="D17" s="457">
        <v>3</v>
      </c>
      <c r="E17" s="1844"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7" t="s">
        <v>1318</v>
      </c>
      <c r="G17" s="621"/>
      <c r="H17" s="621"/>
      <c r="I17" s="621"/>
      <c r="J17" s="621"/>
      <c r="K17" s="621"/>
      <c r="L17" s="621"/>
      <c r="M17" s="621"/>
      <c r="N17" s="145" t="str">
        <f>TP_P_NOTE_V</f>
        <v>Указывается количество заявок с решением об отказе в течение отчетного квартала.</v>
      </c>
      <c r="X17" s="441">
        <v>74</v>
      </c>
    </row>
    <row r="18" spans="1:24" ht="54.75" customHeight="1">
      <c r="A18" s="441"/>
      <c r="C18" s="462"/>
      <c r="D18" s="457">
        <v>4</v>
      </c>
      <c r="E18" s="1844" t="str">
        <f>TP_P_V_1</f>
        <v>Причины отказа в заключении договора о подключении (технологическом присоединении) к системе теплоснабжения</v>
      </c>
      <c r="F18" s="457" t="s">
        <v>325</v>
      </c>
      <c r="G18" s="622"/>
      <c r="H18" s="622"/>
      <c r="I18" s="2025"/>
      <c r="J18" s="2025"/>
      <c r="K18" s="2025"/>
      <c r="L18" s="2025"/>
      <c r="M18" s="2025"/>
      <c r="N18" s="767"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X18" s="441">
        <v>52</v>
      </c>
    </row>
    <row r="19" spans="1:24" ht="60" customHeight="1">
      <c r="A19" s="441"/>
      <c r="C19" s="462"/>
      <c r="D19" s="457">
        <v>5</v>
      </c>
      <c r="E19" s="1844" t="str">
        <f>TP_P_G</f>
        <v>Резерв мощности источников тепловой энергии, входящих в систему теплоснабжения, в течение одного квартала, в том числе:</v>
      </c>
      <c r="F19" s="457" t="str">
        <f>IF(TEMPLATE_SPHERE="HEAT","Гкал/час","тыс. куб. м/сутки")</f>
        <v>Гкал/час</v>
      </c>
      <c r="G19" s="623">
        <f t="shared" ref="G19:M19" si="4">SUM(G20:G22)</f>
        <v>0</v>
      </c>
      <c r="H19" s="623">
        <f t="shared" si="4"/>
        <v>0</v>
      </c>
      <c r="I19" s="623">
        <f t="shared" si="4"/>
        <v>0</v>
      </c>
      <c r="J19" s="623">
        <f t="shared" si="4"/>
        <v>0</v>
      </c>
      <c r="K19" s="623">
        <f t="shared" si="4"/>
        <v>0</v>
      </c>
      <c r="L19" s="623">
        <f t="shared" si="4"/>
        <v>0</v>
      </c>
      <c r="M19" s="623">
        <f t="shared" si="4"/>
        <v>0</v>
      </c>
      <c r="N19" s="14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X19" s="441">
        <v>57</v>
      </c>
    </row>
    <row r="20" spans="1:24" ht="15" hidden="1" customHeight="1">
      <c r="D20" s="445" t="s">
        <v>1319</v>
      </c>
      <c r="E20" s="624"/>
      <c r="F20" s="445"/>
      <c r="G20" s="445"/>
      <c r="H20" s="445"/>
      <c r="N20" s="1684"/>
      <c r="X20" s="441">
        <v>0</v>
      </c>
    </row>
    <row r="21" spans="1:24" ht="29.25" customHeight="1">
      <c r="C21" s="387"/>
      <c r="D21" s="475" t="s">
        <v>332</v>
      </c>
      <c r="E21" s="606"/>
      <c r="F21" s="1682" t="str">
        <f>IF(TEMPLATE_SPHERE="HEAT","Гкал/час","тыс. куб. м/сутки")</f>
        <v>Гкал/час</v>
      </c>
      <c r="G21" s="616"/>
      <c r="H21" s="616"/>
      <c r="I21" s="616"/>
      <c r="J21" s="616"/>
      <c r="K21" s="616"/>
      <c r="L21" s="616"/>
      <c r="M21" s="616"/>
      <c r="N21" s="2429"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X21" s="441">
        <v>28</v>
      </c>
    </row>
    <row r="22" spans="1:24" ht="15.75" customHeight="1">
      <c r="A22" s="441"/>
      <c r="C22" s="441"/>
      <c r="D22" s="284"/>
      <c r="E22" s="516" t="s">
        <v>1320</v>
      </c>
      <c r="F22" s="508"/>
      <c r="G22" s="508"/>
      <c r="H22" s="508"/>
      <c r="I22" s="2318"/>
      <c r="J22" s="2319"/>
      <c r="K22" s="2320"/>
      <c r="L22" s="2321"/>
      <c r="M22" s="2322"/>
      <c r="N22" s="2431"/>
      <c r="W22" s="441"/>
      <c r="X22" s="441">
        <v>15</v>
      </c>
    </row>
    <row r="23" spans="1:24" ht="22.5" hidden="1" customHeight="1">
      <c r="A23" s="385" t="s">
        <v>83</v>
      </c>
      <c r="B23" s="441">
        <v>0</v>
      </c>
      <c r="C23" s="619">
        <v>4</v>
      </c>
      <c r="D23" s="441">
        <v>6</v>
      </c>
      <c r="E23" s="441">
        <v>36</v>
      </c>
      <c r="F23" s="441">
        <v>9</v>
      </c>
      <c r="G23" s="691">
        <v>0</v>
      </c>
      <c r="H23" s="441">
        <v>40</v>
      </c>
      <c r="I23" s="1558">
        <v>0</v>
      </c>
      <c r="J23" s="1558">
        <v>0</v>
      </c>
      <c r="K23" s="1558">
        <v>0</v>
      </c>
      <c r="L23" s="1558">
        <v>0</v>
      </c>
      <c r="M23" s="1558">
        <v>0</v>
      </c>
      <c r="N23" s="353">
        <v>93</v>
      </c>
      <c r="O23" s="441">
        <v>10</v>
      </c>
      <c r="P23" s="441">
        <v>10</v>
      </c>
      <c r="Q23" s="441">
        <v>10</v>
      </c>
      <c r="R23" s="441">
        <v>10</v>
      </c>
      <c r="S23" s="441">
        <v>10</v>
      </c>
      <c r="T23" s="441">
        <v>10</v>
      </c>
      <c r="U23" s="441">
        <v>10</v>
      </c>
      <c r="V23" s="441">
        <v>10</v>
      </c>
      <c r="W23" s="611">
        <v>10</v>
      </c>
      <c r="X23" s="441">
        <v>23</v>
      </c>
    </row>
  </sheetData>
  <sheetProtection formatColumns="0" formatRows="0" insertRows="0" deleteColumns="0" deleteRows="0" sort="0" autoFilter="0"/>
  <mergeCells count="8">
    <mergeCell ref="N21:N22"/>
    <mergeCell ref="N9:N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M18">
      <formula1>900</formula1>
    </dataValidation>
    <dataValidation type="whole" allowBlank="1" showErrorMessage="1" errorTitle="Ошибка" error="Допускается ввод только неотрицательных целых чисел!" sqref="G15:M17">
      <formula1>0</formula1>
      <formula2>9.99999999999999E+23</formula2>
    </dataValidation>
    <dataValidation type="decimal" allowBlank="1" showErrorMessage="1" errorTitle="Ошибка" error="Допускается ввод только действительных чисел!" sqref="G2:M2 G21:M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6"/>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32" hidden="1" customWidth="1"/>
    <col min="2" max="2" width="9.140625" style="1289" hidden="1" customWidth="1"/>
    <col min="3" max="3" width="3" style="281" customWidth="1"/>
    <col min="4" max="4" width="6" style="1558" customWidth="1"/>
    <col min="5" max="6" width="64" style="1558" customWidth="1"/>
    <col min="7" max="7" width="140" style="1558" customWidth="1"/>
    <col min="8" max="8" width="10" style="1558" customWidth="1"/>
    <col min="9" max="10" width="10" style="1547" customWidth="1"/>
    <col min="11" max="16" width="10" style="1558" customWidth="1"/>
    <col min="17" max="17" width="10.5703125" style="1558"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41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18"/>
      <c r="F5" s="2418"/>
      <c r="G5" s="2419"/>
      <c r="Q5" s="22">
        <v>28</v>
      </c>
    </row>
    <row r="6" spans="1:17" s="1558" customFormat="1" ht="18.75" customHeight="1">
      <c r="A6" s="810"/>
      <c r="B6" s="353"/>
      <c r="C6" s="312"/>
      <c r="D6" s="2471" t="str">
        <f>IF(org=0,"Не определено",org)</f>
        <v>ПАО "ТГК-2"</v>
      </c>
      <c r="E6" s="2472"/>
      <c r="F6" s="2472"/>
      <c r="G6" s="2473"/>
      <c r="I6" s="436"/>
      <c r="J6" s="436"/>
      <c r="Q6" s="691">
        <v>18</v>
      </c>
    </row>
    <row r="7" spans="1:17" ht="14.65" customHeight="1">
      <c r="C7" s="35"/>
      <c r="D7" s="23"/>
      <c r="E7" s="34"/>
      <c r="F7" s="687"/>
      <c r="G7" s="130"/>
      <c r="Q7" s="22">
        <v>14</v>
      </c>
    </row>
    <row r="8" spans="1:17" s="1558" customFormat="1" ht="1.1499999999999999" customHeight="1">
      <c r="A8" s="1591"/>
      <c r="B8" s="1083"/>
      <c r="C8" s="312"/>
      <c r="D8" s="299"/>
      <c r="E8" s="325"/>
      <c r="F8" s="687"/>
      <c r="G8" s="130"/>
      <c r="I8" s="1547"/>
      <c r="J8" s="1547"/>
      <c r="Q8" s="1554">
        <v>1</v>
      </c>
    </row>
    <row r="9" spans="1:17" ht="14.65" customHeight="1">
      <c r="C9" s="35"/>
      <c r="D9" s="2466" t="s">
        <v>319</v>
      </c>
      <c r="E9" s="2466"/>
      <c r="F9" s="2466"/>
      <c r="G9" s="2626" t="s">
        <v>320</v>
      </c>
      <c r="Q9" s="22">
        <v>14</v>
      </c>
    </row>
    <row r="10" spans="1:17" ht="24" customHeight="1">
      <c r="C10" s="35"/>
      <c r="D10" s="44" t="s">
        <v>89</v>
      </c>
      <c r="E10" s="47" t="s">
        <v>321</v>
      </c>
      <c r="F10" s="47" t="s">
        <v>409</v>
      </c>
      <c r="G10" s="2626"/>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5" t="s">
        <v>325</v>
      </c>
      <c r="G12" s="88"/>
      <c r="Q12" s="22">
        <v>62</v>
      </c>
    </row>
    <row r="13" spans="1:17" ht="24" customHeight="1">
      <c r="A13" s="129"/>
      <c r="C13" s="35"/>
      <c r="D13" s="84" t="s">
        <v>649</v>
      </c>
      <c r="E13" s="131"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v>
      </c>
      <c r="F13" s="135" t="s">
        <v>325</v>
      </c>
      <c r="G13" s="88"/>
      <c r="Q13" s="22">
        <v>23</v>
      </c>
    </row>
    <row r="14" spans="1:17" ht="14.65" customHeight="1">
      <c r="A14" s="129"/>
      <c r="C14" s="35"/>
      <c r="D14" s="84" t="s">
        <v>1256</v>
      </c>
      <c r="E14" s="132"/>
      <c r="F14" s="150"/>
      <c r="G14" s="242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5" t="s">
        <v>1321</v>
      </c>
      <c r="F15" s="138"/>
      <c r="G15" s="2431"/>
      <c r="Q15" s="22">
        <v>15</v>
      </c>
    </row>
    <row r="16" spans="1:17" ht="14.65" customHeight="1">
      <c r="A16" s="129"/>
      <c r="C16" s="35"/>
      <c r="D16" s="84" t="s">
        <v>653</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5" t="s">
        <v>325</v>
      </c>
      <c r="G16" s="274"/>
      <c r="Q16" s="22">
        <v>14</v>
      </c>
    </row>
    <row r="17" spans="1:17" ht="14.65" customHeight="1">
      <c r="A17" s="129"/>
      <c r="C17" s="35"/>
      <c r="D17" s="84" t="s">
        <v>1264</v>
      </c>
      <c r="E17" s="132"/>
      <c r="F17" s="321"/>
      <c r="G17" s="242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2">
        <v>14</v>
      </c>
    </row>
    <row r="18" spans="1:17" s="1558" customFormat="1" ht="21.95" customHeight="1">
      <c r="A18" s="280"/>
      <c r="B18" s="83"/>
      <c r="C18" s="244"/>
      <c r="D18" s="284"/>
      <c r="E18" s="285" t="s">
        <v>1322</v>
      </c>
      <c r="F18" s="275"/>
      <c r="G18" s="2431"/>
      <c r="I18" s="286"/>
      <c r="J18" s="286"/>
      <c r="Q18" s="279">
        <v>21</v>
      </c>
    </row>
    <row r="19" spans="1:17" s="1558" customFormat="1" ht="256.5" customHeight="1">
      <c r="A19" s="280"/>
      <c r="B19" s="353"/>
      <c r="C19" s="312"/>
      <c r="D19" s="812" t="s">
        <v>725</v>
      </c>
      <c r="E19" s="811" t="s">
        <v>1323</v>
      </c>
      <c r="F19" s="321"/>
      <c r="G19" s="274" t="s">
        <v>1324</v>
      </c>
      <c r="I19" s="436"/>
      <c r="J19" s="436"/>
      <c r="Q19" s="691">
        <v>0</v>
      </c>
    </row>
    <row r="20" spans="1:17" s="1558" customFormat="1" ht="14.65" customHeight="1">
      <c r="A20" s="280"/>
      <c r="B20" s="83"/>
      <c r="C20" s="244"/>
      <c r="D20" s="813">
        <v>2</v>
      </c>
      <c r="E20" s="267" t="s">
        <v>1325</v>
      </c>
      <c r="F20" s="135" t="s">
        <v>325</v>
      </c>
      <c r="G20" s="274"/>
      <c r="I20" s="286"/>
      <c r="J20" s="286"/>
      <c r="Q20" s="279">
        <v>14</v>
      </c>
    </row>
    <row r="21" spans="1:17" s="1558" customFormat="1" ht="18.75" hidden="1" customHeight="1">
      <c r="A21" s="280"/>
      <c r="B21" s="83"/>
      <c r="C21" s="244"/>
      <c r="D21" s="270" t="s">
        <v>782</v>
      </c>
      <c r="E21" s="269"/>
      <c r="F21" s="268"/>
      <c r="G21" s="278"/>
      <c r="H21" s="271"/>
      <c r="I21" s="286"/>
      <c r="J21" s="286"/>
      <c r="Q21" s="279">
        <v>0</v>
      </c>
    </row>
    <row r="22" spans="1:17" ht="15.75" customHeight="1">
      <c r="A22" s="129"/>
      <c r="C22" s="35"/>
      <c r="D22" s="48"/>
      <c r="E22" s="140" t="s">
        <v>341</v>
      </c>
      <c r="F22" s="275"/>
      <c r="G22" s="276"/>
      <c r="Q22" s="22">
        <v>15</v>
      </c>
    </row>
    <row r="23" spans="1:17" s="1558" customFormat="1" ht="22.5" hidden="1" customHeight="1">
      <c r="A23" s="280"/>
      <c r="B23" s="1083"/>
      <c r="C23" s="312"/>
      <c r="D23" s="1595" t="s">
        <v>103</v>
      </c>
      <c r="E23" s="134" t="s">
        <v>1326</v>
      </c>
      <c r="F23" s="1592" t="s">
        <v>325</v>
      </c>
      <c r="G23" s="282"/>
      <c r="I23" s="1547"/>
      <c r="J23" s="1547"/>
      <c r="Q23" s="1554">
        <v>0</v>
      </c>
    </row>
    <row r="24" spans="1:17" s="1558" customFormat="1" ht="14.25" hidden="1" customHeight="1">
      <c r="A24" s="280"/>
      <c r="B24" s="1083"/>
      <c r="C24" s="312"/>
      <c r="D24" s="1595" t="s">
        <v>854</v>
      </c>
      <c r="E24" s="1594" t="s">
        <v>1327</v>
      </c>
      <c r="F24" s="1592" t="s">
        <v>325</v>
      </c>
      <c r="G24" s="274"/>
      <c r="I24" s="1547"/>
      <c r="J24" s="1547"/>
      <c r="Q24" s="1554">
        <v>0</v>
      </c>
    </row>
    <row r="25" spans="1:17" s="1558" customFormat="1" ht="14.25" hidden="1" customHeight="1">
      <c r="A25" s="280"/>
      <c r="B25" s="1083"/>
      <c r="C25" s="312"/>
      <c r="D25" s="1595" t="s">
        <v>857</v>
      </c>
      <c r="E25" s="132"/>
      <c r="F25" s="321"/>
      <c r="G25" s="2429" t="s">
        <v>1328</v>
      </c>
      <c r="I25" s="1547"/>
      <c r="J25" s="1547"/>
      <c r="Q25" s="1554">
        <v>0</v>
      </c>
    </row>
    <row r="26" spans="1:17" s="1558" customFormat="1" ht="14.25" hidden="1" customHeight="1">
      <c r="A26" s="280"/>
      <c r="B26" s="1083"/>
      <c r="C26" s="312"/>
      <c r="D26" s="284"/>
      <c r="E26" s="285" t="s">
        <v>1329</v>
      </c>
      <c r="F26" s="275"/>
      <c r="G26" s="2431"/>
      <c r="I26" s="1547"/>
      <c r="J26" s="1547"/>
      <c r="Q26" s="1554">
        <v>0</v>
      </c>
    </row>
    <row r="27" spans="1:17" s="1558" customFormat="1" ht="33.75" hidden="1" customHeight="1">
      <c r="A27" s="280"/>
      <c r="B27" s="1289"/>
      <c r="C27" s="312"/>
      <c r="D27" s="1993" t="s">
        <v>91</v>
      </c>
      <c r="E27" s="134" t="s">
        <v>1330</v>
      </c>
      <c r="F27" s="1994" t="s">
        <v>325</v>
      </c>
      <c r="G27" s="1448"/>
      <c r="I27" s="1547"/>
      <c r="J27" s="1547"/>
      <c r="Q27" s="1554">
        <v>0</v>
      </c>
    </row>
    <row r="28" spans="1:17" s="1558" customFormat="1" ht="22.5" hidden="1" customHeight="1">
      <c r="A28" s="280"/>
      <c r="B28" s="1289"/>
      <c r="C28" s="312"/>
      <c r="D28" s="1993" t="s">
        <v>343</v>
      </c>
      <c r="E28" s="1995" t="s">
        <v>1331</v>
      </c>
      <c r="F28" s="1994" t="s">
        <v>325</v>
      </c>
      <c r="G28" s="274"/>
      <c r="I28" s="1547"/>
      <c r="J28" s="1547"/>
      <c r="Q28" s="1554">
        <v>0</v>
      </c>
    </row>
    <row r="29" spans="1:17" s="1558" customFormat="1" ht="14.25" hidden="1" customHeight="1">
      <c r="A29" s="280"/>
      <c r="B29" s="1289"/>
      <c r="C29" s="312"/>
      <c r="D29" s="1993" t="s">
        <v>345</v>
      </c>
      <c r="E29" s="2007"/>
      <c r="F29" s="598"/>
      <c r="G29" s="2429" t="s">
        <v>1332</v>
      </c>
      <c r="I29" s="1547"/>
      <c r="J29" s="1547"/>
      <c r="Q29" s="1554">
        <v>0</v>
      </c>
    </row>
    <row r="30" spans="1:17" s="1558" customFormat="1" ht="14.25" hidden="1" customHeight="1">
      <c r="A30" s="280"/>
      <c r="B30" s="1289"/>
      <c r="C30" s="312"/>
      <c r="D30" s="284"/>
      <c r="E30" s="507" t="s">
        <v>1329</v>
      </c>
      <c r="F30" s="275"/>
      <c r="G30" s="2431"/>
      <c r="I30" s="1547"/>
      <c r="J30" s="1547"/>
      <c r="Q30" s="1554">
        <v>0</v>
      </c>
    </row>
    <row r="31" spans="1:17" ht="3" customHeight="1">
      <c r="Q31" s="22">
        <v>3</v>
      </c>
    </row>
    <row r="32" spans="1:17" ht="14.65" customHeight="1">
      <c r="D32" s="273"/>
      <c r="E32" s="272"/>
      <c r="F32" s="252"/>
      <c r="G32" s="252"/>
      <c r="H32" s="252"/>
      <c r="I32" s="252"/>
      <c r="J32" s="252"/>
      <c r="K32" s="252"/>
      <c r="L32" s="252"/>
      <c r="M32" s="252"/>
      <c r="N32" s="252"/>
      <c r="O32" s="252"/>
      <c r="P32" s="252"/>
      <c r="Q32" s="22">
        <v>14</v>
      </c>
    </row>
    <row r="33" spans="1:17" ht="14.65" customHeight="1">
      <c r="D33" s="273"/>
      <c r="E33" s="518"/>
      <c r="Q33" s="22">
        <v>14</v>
      </c>
    </row>
    <row r="34" spans="1:17" ht="14.65" customHeight="1">
      <c r="Q34" s="22">
        <v>14</v>
      </c>
    </row>
    <row r="35" spans="1:17" ht="14.65" customHeight="1">
      <c r="E35" s="691"/>
      <c r="Q35" s="22">
        <v>14</v>
      </c>
    </row>
    <row r="36" spans="1:17" ht="22.5" hidden="1" customHeight="1">
      <c r="A36" s="40" t="s">
        <v>83</v>
      </c>
      <c r="B36" s="83">
        <v>0</v>
      </c>
      <c r="C36" s="36">
        <v>3</v>
      </c>
      <c r="D36" s="22">
        <v>6</v>
      </c>
      <c r="E36" s="22">
        <v>64</v>
      </c>
      <c r="F36" s="22">
        <v>64</v>
      </c>
      <c r="G36" s="22">
        <v>140</v>
      </c>
      <c r="H36" s="22">
        <v>10</v>
      </c>
      <c r="I36" s="92">
        <v>10</v>
      </c>
      <c r="J36" s="92">
        <v>10</v>
      </c>
      <c r="K36" s="22">
        <v>10</v>
      </c>
      <c r="L36" s="22">
        <v>10</v>
      </c>
      <c r="M36" s="22">
        <v>10</v>
      </c>
      <c r="N36" s="22">
        <v>10</v>
      </c>
      <c r="O36" s="22">
        <v>10</v>
      </c>
      <c r="P36" s="22">
        <v>10</v>
      </c>
      <c r="Q36" s="22">
        <v>23</v>
      </c>
    </row>
  </sheetData>
  <sheetProtection formatColumns="0" formatRows="0" insertRows="0" deleteColumns="0" deleteRows="0" sort="0" autoFilter="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696" hidden="1" customWidth="1"/>
    <col min="2" max="2" width="9.140625" style="1289" hidden="1" customWidth="1"/>
    <col min="3" max="3" width="3" style="281" customWidth="1"/>
    <col min="4" max="4" width="6" style="1558" customWidth="1"/>
    <col min="5" max="5" width="63" style="1558" customWidth="1"/>
    <col min="6" max="6" width="1.7109375" style="1558" hidden="1" customWidth="1"/>
    <col min="7" max="8" width="35" style="1558" customWidth="1"/>
    <col min="9" max="9" width="91" style="1558" customWidth="1"/>
    <col min="10" max="10" width="68" style="1558" customWidth="1"/>
    <col min="11" max="12" width="10" style="1547" customWidth="1"/>
    <col min="13" max="13" width="10.5703125" style="1558" hidden="1"/>
  </cols>
  <sheetData>
    <row r="1" spans="1:13" ht="22.5" hidden="1" customHeight="1">
      <c r="M1" s="22" t="s">
        <v>14</v>
      </c>
    </row>
    <row r="2" spans="1:13" s="1558" customFormat="1" ht="18.75" hidden="1" customHeight="1">
      <c r="A2" s="1605"/>
      <c r="B2" s="1083"/>
      <c r="C2" s="1651" t="s">
        <v>104</v>
      </c>
      <c r="D2" s="1595"/>
      <c r="E2" s="136"/>
      <c r="F2" s="1592"/>
      <c r="G2" s="1592" t="s">
        <v>325</v>
      </c>
      <c r="H2" s="1084"/>
      <c r="K2" s="1547"/>
      <c r="L2" s="1547"/>
      <c r="M2" s="1554">
        <v>0</v>
      </c>
    </row>
    <row r="3" spans="1:13" s="1558" customFormat="1" ht="14.25" hidden="1" customHeight="1">
      <c r="A3" s="1285"/>
      <c r="B3" s="1083"/>
      <c r="C3" s="281"/>
      <c r="K3" s="1547"/>
      <c r="L3" s="1547"/>
      <c r="M3" s="1554">
        <v>0</v>
      </c>
    </row>
    <row r="4" spans="1:13" s="1558" customFormat="1" ht="18.75" hidden="1" customHeight="1">
      <c r="A4" s="1605"/>
      <c r="B4" s="1083"/>
      <c r="C4" s="1651" t="s">
        <v>104</v>
      </c>
      <c r="D4" s="1595"/>
      <c r="E4" s="142" t="s">
        <v>1333</v>
      </c>
      <c r="F4" s="1592"/>
      <c r="G4" s="194"/>
      <c r="H4" s="1592" t="s">
        <v>325</v>
      </c>
      <c r="K4" s="1547"/>
      <c r="L4" s="1547"/>
      <c r="M4" s="1554">
        <v>0</v>
      </c>
    </row>
    <row r="5" spans="1:13" s="1558" customFormat="1" ht="14.25" hidden="1" customHeight="1">
      <c r="A5" s="1285"/>
      <c r="B5" s="1083"/>
      <c r="C5" s="281"/>
      <c r="K5" s="1547"/>
      <c r="L5" s="1547"/>
      <c r="M5" s="1554">
        <v>0</v>
      </c>
    </row>
    <row r="6" spans="1:13" s="1558" customFormat="1" ht="18.75" hidden="1" customHeight="1">
      <c r="A6" s="1605"/>
      <c r="B6" s="1083"/>
      <c r="C6" s="1651" t="s">
        <v>104</v>
      </c>
      <c r="D6" s="1595"/>
      <c r="E6" s="143" t="s">
        <v>1334</v>
      </c>
      <c r="F6" s="1592"/>
      <c r="G6" s="194"/>
      <c r="H6" s="1592" t="s">
        <v>325</v>
      </c>
      <c r="K6" s="1547"/>
      <c r="L6" s="1547"/>
      <c r="M6" s="1554">
        <v>0</v>
      </c>
    </row>
    <row r="7" spans="1:13" s="1558" customFormat="1" ht="14.25" hidden="1" customHeight="1">
      <c r="A7" s="1285"/>
      <c r="B7" s="1083"/>
      <c r="C7" s="281"/>
      <c r="K7" s="1547"/>
      <c r="L7" s="1547"/>
      <c r="M7" s="1554">
        <v>0</v>
      </c>
    </row>
    <row r="8" spans="1:13" s="1558" customFormat="1" ht="18.75" hidden="1" customHeight="1">
      <c r="A8" s="1605"/>
      <c r="B8" s="1083"/>
      <c r="C8" s="1651" t="s">
        <v>104</v>
      </c>
      <c r="D8" s="1595"/>
      <c r="E8" s="143" t="s">
        <v>1335</v>
      </c>
      <c r="F8" s="1592"/>
      <c r="G8" s="194"/>
      <c r="H8" s="1592" t="s">
        <v>325</v>
      </c>
      <c r="K8" s="1547"/>
      <c r="L8" s="1547"/>
      <c r="M8" s="1554">
        <v>0</v>
      </c>
    </row>
    <row r="9" spans="1:13" s="1558" customFormat="1" ht="14.25" hidden="1" customHeight="1">
      <c r="A9" s="1285"/>
      <c r="B9" s="1083"/>
      <c r="C9" s="281"/>
      <c r="K9" s="1547"/>
      <c r="L9" s="1547"/>
      <c r="M9" s="1554">
        <v>0</v>
      </c>
    </row>
    <row r="10" spans="1:13" s="1558" customFormat="1" ht="18.75" hidden="1" customHeight="1">
      <c r="A10" s="1605"/>
      <c r="B10" s="1083"/>
      <c r="C10" s="1651" t="s">
        <v>104</v>
      </c>
      <c r="D10" s="1595"/>
      <c r="E10" s="143" t="s">
        <v>1336</v>
      </c>
      <c r="F10" s="1592"/>
      <c r="G10" s="1596"/>
      <c r="H10" s="1592" t="s">
        <v>325</v>
      </c>
      <c r="K10" s="1547"/>
      <c r="L10" s="1547" t="s">
        <v>1337</v>
      </c>
      <c r="M10" s="1554">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41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18"/>
      <c r="F14" s="2418"/>
      <c r="G14" s="2418"/>
      <c r="H14" s="2419"/>
      <c r="J14" s="1554"/>
      <c r="M14" s="22">
        <v>28</v>
      </c>
    </row>
    <row r="15" spans="1:13" s="1558" customFormat="1" ht="14.65" customHeight="1">
      <c r="A15" s="1285"/>
      <c r="B15" s="1083"/>
      <c r="C15" s="312"/>
      <c r="D15" s="2471" t="str">
        <f>IF(org=0,"Не определено",org)</f>
        <v>ПАО "ТГК-2"</v>
      </c>
      <c r="E15" s="2472"/>
      <c r="F15" s="2472"/>
      <c r="G15" s="2472"/>
      <c r="H15" s="2473"/>
      <c r="J15" s="781"/>
      <c r="K15" s="1547"/>
      <c r="L15" s="1547"/>
      <c r="M15" s="1554">
        <v>14</v>
      </c>
    </row>
    <row r="16" spans="1:13" ht="14.65" customHeight="1">
      <c r="C16" s="35"/>
      <c r="D16" s="23"/>
      <c r="E16" s="34"/>
      <c r="F16" s="34"/>
      <c r="G16" s="34"/>
      <c r="H16" s="687"/>
      <c r="I16" s="130"/>
      <c r="M16" s="22">
        <v>14</v>
      </c>
    </row>
    <row r="17" spans="1:13" s="1558" customFormat="1" ht="14.25" hidden="1" customHeight="1">
      <c r="A17" s="1285"/>
      <c r="B17" s="1083"/>
      <c r="C17" s="312"/>
      <c r="D17" s="299"/>
      <c r="E17" s="325"/>
      <c r="F17" s="325"/>
      <c r="G17" s="325"/>
      <c r="H17" s="687"/>
      <c r="I17" s="130"/>
      <c r="K17" s="1547"/>
      <c r="L17" s="1547"/>
      <c r="M17" s="1554">
        <v>0</v>
      </c>
    </row>
    <row r="18" spans="1:13" ht="21.95" customHeight="1">
      <c r="C18" s="35"/>
      <c r="D18" s="2466" t="s">
        <v>319</v>
      </c>
      <c r="E18" s="2466"/>
      <c r="F18" s="2466"/>
      <c r="G18" s="2466"/>
      <c r="H18" s="2466"/>
      <c r="I18" s="2626" t="s">
        <v>320</v>
      </c>
      <c r="M18" s="22">
        <v>21</v>
      </c>
    </row>
    <row r="19" spans="1:13" ht="21.95" customHeight="1">
      <c r="C19" s="35"/>
      <c r="D19" s="44" t="s">
        <v>89</v>
      </c>
      <c r="E19" s="47" t="s">
        <v>321</v>
      </c>
      <c r="F19" s="47"/>
      <c r="G19" s="47" t="s">
        <v>322</v>
      </c>
      <c r="H19" s="47" t="s">
        <v>409</v>
      </c>
      <c r="I19" s="2626"/>
      <c r="M19" s="22">
        <v>21</v>
      </c>
    </row>
    <row r="20" spans="1:13" ht="12" hidden="1" customHeight="1">
      <c r="C20" s="35"/>
      <c r="D20" s="26"/>
      <c r="E20" s="26"/>
      <c r="F20" s="26"/>
      <c r="G20" s="26"/>
      <c r="H20" s="26"/>
      <c r="I20" s="26"/>
      <c r="M20" s="22">
        <v>0</v>
      </c>
    </row>
    <row r="21" spans="1:13" ht="14.65" customHeight="1">
      <c r="A21" s="1605"/>
      <c r="C21" s="35"/>
      <c r="D21" s="84">
        <v>1</v>
      </c>
      <c r="E21" s="2722" t="s">
        <v>1338</v>
      </c>
      <c r="F21" s="2722"/>
      <c r="G21" s="2722"/>
      <c r="H21" s="2722"/>
      <c r="I21" s="145"/>
      <c r="M21" s="22">
        <v>14</v>
      </c>
    </row>
    <row r="22" spans="1:13" ht="21" customHeight="1">
      <c r="A22" s="1605"/>
      <c r="C22" s="35"/>
      <c r="D22" s="84" t="s">
        <v>649</v>
      </c>
      <c r="E22" s="131" t="s">
        <v>1339</v>
      </c>
      <c r="F22" s="135"/>
      <c r="G22" s="1658"/>
      <c r="H22" s="135" t="s">
        <v>325</v>
      </c>
      <c r="I22" s="88" t="s">
        <v>1340</v>
      </c>
      <c r="M22" s="22">
        <v>20</v>
      </c>
    </row>
    <row r="23" spans="1:13" ht="60" customHeight="1">
      <c r="A23" s="1605"/>
      <c r="C23" s="35"/>
      <c r="D23" s="84" t="s">
        <v>653</v>
      </c>
      <c r="E23" s="131" t="s">
        <v>1341</v>
      </c>
      <c r="F23" s="135"/>
      <c r="G23" s="194"/>
      <c r="H23" s="150"/>
      <c r="I23" s="195" t="s">
        <v>1342</v>
      </c>
      <c r="M23" s="22">
        <v>57</v>
      </c>
    </row>
    <row r="24" spans="1:13" ht="14.65" customHeight="1">
      <c r="A24" s="1605"/>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5"/>
      <c r="G24" s="135" t="s">
        <v>325</v>
      </c>
      <c r="H24" s="150"/>
      <c r="I24" s="196" t="s">
        <v>777</v>
      </c>
      <c r="M24" s="22">
        <v>14</v>
      </c>
    </row>
    <row r="25" spans="1:13" ht="48.2" customHeight="1">
      <c r="A25" s="1605"/>
      <c r="C25" s="35"/>
      <c r="D25" s="84">
        <v>3</v>
      </c>
      <c r="E25" s="272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722"/>
      <c r="G25" s="2722"/>
      <c r="H25" s="2722"/>
      <c r="I25" s="193"/>
      <c r="M25" s="22">
        <v>46</v>
      </c>
    </row>
    <row r="26" spans="1:13" ht="14.65" customHeight="1">
      <c r="A26" s="1605"/>
      <c r="C26" s="35"/>
      <c r="D26" s="84" t="s">
        <v>343</v>
      </c>
      <c r="E26" s="136"/>
      <c r="F26" s="135"/>
      <c r="G26" s="135" t="s">
        <v>325</v>
      </c>
      <c r="H26" s="150"/>
      <c r="I26" s="2429" t="s">
        <v>1343</v>
      </c>
      <c r="M26" s="22">
        <v>14</v>
      </c>
    </row>
    <row r="27" spans="1:13" ht="15.75" customHeight="1">
      <c r="A27" s="1605" t="s">
        <v>100</v>
      </c>
      <c r="C27" s="35"/>
      <c r="D27" s="48"/>
      <c r="E27" s="140" t="s">
        <v>341</v>
      </c>
      <c r="F27" s="141"/>
      <c r="G27" s="141"/>
      <c r="H27" s="138"/>
      <c r="I27" s="2431"/>
      <c r="M27" s="22">
        <v>15</v>
      </c>
    </row>
    <row r="28" spans="1:13" ht="39.75" customHeight="1">
      <c r="A28" s="1605"/>
      <c r="B28" s="83">
        <v>3</v>
      </c>
      <c r="C28" s="35"/>
      <c r="D28" s="84">
        <v>4</v>
      </c>
      <c r="E28" s="272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722"/>
      <c r="G28" s="2722"/>
      <c r="H28" s="2722"/>
      <c r="I28" s="193"/>
      <c r="M28" s="22">
        <v>38</v>
      </c>
    </row>
    <row r="29" spans="1:13" ht="21" customHeight="1">
      <c r="A29" s="1605"/>
      <c r="C29" s="35"/>
      <c r="D29" s="84" t="s">
        <v>905</v>
      </c>
      <c r="E29" s="142" t="s">
        <v>1333</v>
      </c>
      <c r="F29" s="135"/>
      <c r="G29" s="194"/>
      <c r="H29" s="135" t="s">
        <v>325</v>
      </c>
      <c r="I29" s="2429" t="s">
        <v>1344</v>
      </c>
      <c r="M29" s="22">
        <v>20</v>
      </c>
    </row>
    <row r="30" spans="1:13" ht="15.75" customHeight="1">
      <c r="A30" s="1605" t="s">
        <v>103</v>
      </c>
      <c r="C30" s="35"/>
      <c r="D30" s="48"/>
      <c r="E30" s="140" t="s">
        <v>341</v>
      </c>
      <c r="F30" s="141"/>
      <c r="G30" s="141"/>
      <c r="H30" s="138"/>
      <c r="I30" s="2431"/>
      <c r="M30" s="22">
        <v>15</v>
      </c>
    </row>
    <row r="31" spans="1:13" ht="31.5" customHeight="1">
      <c r="A31" s="1605"/>
      <c r="B31" s="83">
        <v>3</v>
      </c>
      <c r="C31" s="35"/>
      <c r="D31" s="84">
        <v>5</v>
      </c>
      <c r="E31" s="272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722"/>
      <c r="G31" s="2722"/>
      <c r="H31" s="2722"/>
      <c r="I31" s="193"/>
      <c r="M31" s="22">
        <v>30</v>
      </c>
    </row>
    <row r="32" spans="1:13" ht="27.4" customHeight="1">
      <c r="A32" s="1605"/>
      <c r="C32" s="35"/>
      <c r="D32" s="84" t="s">
        <v>332</v>
      </c>
      <c r="E32" s="265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652"/>
      <c r="G32" s="2652"/>
      <c r="H32" s="2652"/>
      <c r="I32" s="193"/>
      <c r="M32" s="22">
        <v>26</v>
      </c>
    </row>
    <row r="33" spans="1:13" ht="14.65" customHeight="1">
      <c r="A33" s="1605"/>
      <c r="C33" s="35"/>
      <c r="D33" s="84" t="s">
        <v>1345</v>
      </c>
      <c r="E33" s="143" t="s">
        <v>1334</v>
      </c>
      <c r="F33" s="135"/>
      <c r="G33" s="194"/>
      <c r="H33" s="135" t="s">
        <v>325</v>
      </c>
      <c r="I33" s="2429" t="s">
        <v>1346</v>
      </c>
      <c r="M33" s="22">
        <v>14</v>
      </c>
    </row>
    <row r="34" spans="1:13" ht="15.75" customHeight="1">
      <c r="A34" s="1605" t="s">
        <v>91</v>
      </c>
      <c r="C34" s="35"/>
      <c r="D34" s="48"/>
      <c r="E34" s="141" t="s">
        <v>341</v>
      </c>
      <c r="F34" s="137"/>
      <c r="G34" s="137"/>
      <c r="H34" s="138"/>
      <c r="I34" s="2431"/>
      <c r="M34" s="22">
        <v>15</v>
      </c>
    </row>
    <row r="35" spans="1:13" ht="25.15" customHeight="1">
      <c r="A35" s="1605"/>
      <c r="C35" s="35"/>
      <c r="D35" s="84" t="s">
        <v>1046</v>
      </c>
      <c r="E35" s="265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652"/>
      <c r="G35" s="2652"/>
      <c r="H35" s="2652"/>
      <c r="I35" s="193"/>
      <c r="M35" s="22">
        <v>24</v>
      </c>
    </row>
    <row r="36" spans="1:13" ht="14.65" customHeight="1">
      <c r="A36" s="1605"/>
      <c r="C36" s="35"/>
      <c r="D36" s="84" t="s">
        <v>1347</v>
      </c>
      <c r="E36" s="143" t="s">
        <v>1335</v>
      </c>
      <c r="F36" s="135"/>
      <c r="G36" s="194"/>
      <c r="H36" s="135" t="s">
        <v>325</v>
      </c>
      <c r="I36" s="2403" t="s">
        <v>1348</v>
      </c>
      <c r="M36" s="22">
        <v>14</v>
      </c>
    </row>
    <row r="37" spans="1:13" ht="15.75" customHeight="1">
      <c r="A37" s="1605" t="s">
        <v>92</v>
      </c>
      <c r="C37" s="35"/>
      <c r="D37" s="48"/>
      <c r="E37" s="141" t="s">
        <v>341</v>
      </c>
      <c r="F37" s="137"/>
      <c r="G37" s="137"/>
      <c r="H37" s="138"/>
      <c r="I37" s="2403"/>
      <c r="M37" s="22">
        <v>15</v>
      </c>
    </row>
    <row r="38" spans="1:13" ht="27.4" customHeight="1">
      <c r="A38" s="1605"/>
      <c r="C38" s="35"/>
      <c r="D38" s="84" t="s">
        <v>1047</v>
      </c>
      <c r="E38" s="265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652"/>
      <c r="G38" s="2652"/>
      <c r="H38" s="2652"/>
      <c r="I38" s="193"/>
      <c r="M38" s="22">
        <v>26</v>
      </c>
    </row>
    <row r="39" spans="1:13" ht="14.65" customHeight="1">
      <c r="A39" s="1605"/>
      <c r="C39" s="35"/>
      <c r="D39" s="84" t="s">
        <v>1048</v>
      </c>
      <c r="E39" s="143" t="s">
        <v>1336</v>
      </c>
      <c r="F39" s="135"/>
      <c r="G39" s="144"/>
      <c r="H39" s="135" t="s">
        <v>325</v>
      </c>
      <c r="I39" s="2429" t="s">
        <v>1349</v>
      </c>
      <c r="L39" s="92" t="s">
        <v>1337</v>
      </c>
      <c r="M39" s="22">
        <v>14</v>
      </c>
    </row>
    <row r="40" spans="1:13" ht="15.75" customHeight="1">
      <c r="A40" s="1605" t="s">
        <v>123</v>
      </c>
      <c r="C40" s="35"/>
      <c r="D40" s="48"/>
      <c r="E40" s="141" t="s">
        <v>341</v>
      </c>
      <c r="F40" s="137"/>
      <c r="G40" s="137"/>
      <c r="H40" s="138"/>
      <c r="I40" s="2431"/>
      <c r="M40" s="22">
        <v>15</v>
      </c>
    </row>
    <row r="41" spans="1:13" s="1742" customFormat="1" ht="3" customHeight="1">
      <c r="A41" s="1605"/>
      <c r="K41" s="133"/>
      <c r="L41" s="133"/>
      <c r="M41" s="78">
        <v>3</v>
      </c>
    </row>
    <row r="42" spans="1:13" ht="26.25" customHeight="1">
      <c r="D42" s="1603" t="s">
        <v>967</v>
      </c>
      <c r="E42" s="252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526"/>
      <c r="G42" s="2526"/>
      <c r="H42" s="2526"/>
      <c r="I42" s="2526"/>
      <c r="M42" s="22">
        <v>25</v>
      </c>
    </row>
    <row r="43" spans="1:13" ht="22.5" hidden="1" customHeight="1">
      <c r="A43" s="1285" t="s">
        <v>83</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703125" defaultRowHeight="14.25" customHeight="1"/>
  <cols>
    <col min="1" max="2" width="25.140625" style="1699" hidden="1" customWidth="1"/>
    <col min="3" max="3" width="9.140625" style="1609" hidden="1" customWidth="1"/>
    <col min="4" max="4" width="3" style="281" customWidth="1"/>
    <col min="5" max="5" width="6" style="1558" customWidth="1"/>
    <col min="6" max="6" width="46.7109375" style="1558" customWidth="1"/>
    <col min="7" max="7" width="35" style="1558" customWidth="1"/>
    <col min="8" max="8" width="3" style="1558" customWidth="1"/>
    <col min="9" max="10" width="11" style="1558" customWidth="1"/>
    <col min="11" max="12" width="35" style="1558" customWidth="1"/>
    <col min="13" max="13" width="84" style="1558" customWidth="1"/>
    <col min="14" max="14" width="10" style="1558" customWidth="1"/>
    <col min="15" max="16" width="10" style="1547" customWidth="1"/>
    <col min="17" max="33" width="10" style="1558" customWidth="1"/>
    <col min="34" max="34" width="10.5703125" style="1558" hidden="1"/>
  </cols>
  <sheetData>
    <row r="1" spans="1:34" s="1558" customFormat="1" ht="22.5" hidden="1" customHeight="1">
      <c r="A1" s="1699"/>
      <c r="B1" s="1699"/>
      <c r="C1" s="305"/>
      <c r="D1" s="281"/>
      <c r="N1" s="1559">
        <f>IFERROR(MATCH("метод экономически обоснованных расходов (затрат)",OFFER_METHOD,0),0)</f>
        <v>0</v>
      </c>
      <c r="O1" s="1547"/>
      <c r="P1" s="1547"/>
      <c r="T1" s="760"/>
      <c r="AG1" s="192"/>
      <c r="AH1" s="1554" t="s">
        <v>14</v>
      </c>
    </row>
    <row r="2" spans="1:34" s="1558" customFormat="1" ht="18.75" hidden="1" customHeight="1">
      <c r="A2" s="1700" t="s">
        <v>176</v>
      </c>
      <c r="B2" s="1700" t="s">
        <v>177</v>
      </c>
      <c r="C2" s="305"/>
      <c r="D2" s="281"/>
      <c r="E2" s="958"/>
      <c r="F2" s="958"/>
      <c r="G2" s="2692" t="str">
        <f>INDEX(PT_DIFFERENTIATION_NTAR,MATCH(B2,PT_DIFFERENTIATION_NTAR_ID,0))</f>
        <v/>
      </c>
      <c r="H2" s="1781"/>
      <c r="I2" s="1660"/>
      <c r="J2" s="1694"/>
      <c r="K2" s="1782"/>
      <c r="L2" s="1781" t="s">
        <v>325</v>
      </c>
      <c r="M2" s="1792"/>
      <c r="N2" s="271"/>
      <c r="O2" s="1547"/>
      <c r="P2" s="1547"/>
      <c r="AH2" s="1554">
        <v>0</v>
      </c>
    </row>
    <row r="3" spans="1:34" s="1558" customFormat="1" ht="18.75" hidden="1" customHeight="1">
      <c r="A3" s="1700"/>
      <c r="B3" s="1700"/>
      <c r="C3" s="305" t="s">
        <v>1350</v>
      </c>
      <c r="D3" s="281"/>
      <c r="E3" s="958"/>
      <c r="F3" s="958"/>
      <c r="G3" s="2692"/>
      <c r="H3" s="1423"/>
      <c r="I3" s="587" t="s">
        <v>1351</v>
      </c>
      <c r="J3" s="507"/>
      <c r="K3" s="1423"/>
      <c r="L3" s="151"/>
      <c r="M3" s="1792"/>
      <c r="N3" s="271"/>
      <c r="O3" s="1547"/>
      <c r="P3" s="1547"/>
      <c r="AH3" s="1554">
        <v>0</v>
      </c>
    </row>
    <row r="4" spans="1:34" s="1558" customFormat="1" ht="14.25" hidden="1" customHeight="1">
      <c r="A4" s="1699"/>
      <c r="B4" s="1699"/>
      <c r="C4" s="305"/>
      <c r="D4" s="281"/>
      <c r="N4" s="1559">
        <f>IFERROR(MATCH("метод экономически обоснованных расходов (затрат)",OFFER_METHOD,0),0)</f>
        <v>0</v>
      </c>
      <c r="O4" s="1547"/>
      <c r="P4" s="1547"/>
      <c r="T4" s="760"/>
      <c r="AG4" s="192"/>
      <c r="AH4" s="1554">
        <v>0</v>
      </c>
    </row>
    <row r="5" spans="1:34" s="1558" customFormat="1" ht="18.75" hidden="1" customHeight="1">
      <c r="A5" s="1700" t="s">
        <v>176</v>
      </c>
      <c r="B5" s="1700" t="s">
        <v>177</v>
      </c>
      <c r="C5" s="305"/>
      <c r="D5" s="281"/>
      <c r="E5" s="958"/>
      <c r="F5" s="958"/>
      <c r="G5" s="2692" t="str">
        <f>INDEX(PT_DIFFERENTIATION_NTAR,MATCH(B5,PT_DIFFERENTIATION_NTAR_ID,0))</f>
        <v/>
      </c>
      <c r="H5" s="1781"/>
      <c r="I5" s="1660"/>
      <c r="J5" s="1694"/>
      <c r="K5" s="1698"/>
      <c r="L5" s="1781" t="s">
        <v>325</v>
      </c>
      <c r="M5" s="1792"/>
      <c r="N5" s="271"/>
      <c r="O5" s="1547"/>
      <c r="P5" s="1547"/>
      <c r="AH5" s="1554">
        <v>0</v>
      </c>
    </row>
    <row r="6" spans="1:34" s="1558" customFormat="1" ht="18.75" hidden="1" customHeight="1">
      <c r="A6" s="1700"/>
      <c r="B6" s="1700"/>
      <c r="C6" s="305" t="s">
        <v>1352</v>
      </c>
      <c r="D6" s="281"/>
      <c r="E6" s="958"/>
      <c r="F6" s="958"/>
      <c r="G6" s="2692"/>
      <c r="H6" s="1423"/>
      <c r="I6" s="587" t="s">
        <v>1351</v>
      </c>
      <c r="J6" s="507"/>
      <c r="K6" s="1423"/>
      <c r="L6" s="151"/>
      <c r="M6" s="1792"/>
      <c r="N6" s="271"/>
      <c r="O6" s="1547"/>
      <c r="P6" s="1547"/>
      <c r="AH6" s="1554">
        <v>0</v>
      </c>
    </row>
    <row r="7" spans="1:34" s="1558" customFormat="1" ht="14.25" hidden="1" customHeight="1">
      <c r="A7" s="1699"/>
      <c r="B7" s="1699"/>
      <c r="C7" s="305"/>
      <c r="D7" s="281"/>
      <c r="N7" s="1559">
        <f>IFERROR(MATCH("метод экономически обоснованных расходов (затрат)",OFFER_METHOD,0),0)</f>
        <v>0</v>
      </c>
      <c r="O7" s="1547"/>
      <c r="P7" s="1547"/>
      <c r="T7" s="760"/>
      <c r="AG7" s="192"/>
      <c r="AH7" s="1554">
        <v>0</v>
      </c>
    </row>
    <row r="8" spans="1:34" s="1558" customFormat="1" ht="56.25" hidden="1" customHeight="1">
      <c r="A8" s="1700"/>
      <c r="B8" s="1700"/>
      <c r="C8" s="305"/>
      <c r="D8" s="281"/>
      <c r="E8" s="958"/>
      <c r="F8" s="958"/>
      <c r="G8" s="958"/>
      <c r="H8" s="1692"/>
      <c r="I8" s="1660"/>
      <c r="J8" s="1694"/>
      <c r="K8" s="1782"/>
      <c r="L8" s="1692" t="s">
        <v>325</v>
      </c>
      <c r="M8" s="1792"/>
      <c r="N8" s="271"/>
      <c r="O8" s="1547"/>
      <c r="P8" s="1547"/>
      <c r="AH8" s="1554">
        <v>0</v>
      </c>
    </row>
    <row r="9" spans="1:34" ht="14.25" hidden="1" customHeight="1">
      <c r="T9" s="333"/>
      <c r="AG9" s="192"/>
      <c r="AH9" s="310">
        <v>0</v>
      </c>
    </row>
    <row r="10" spans="1:34" s="1558" customFormat="1" ht="56.25" hidden="1" customHeight="1">
      <c r="A10" s="1700"/>
      <c r="B10" s="1700"/>
      <c r="C10" s="305"/>
      <c r="D10" s="281"/>
      <c r="E10" s="958"/>
      <c r="F10" s="958"/>
      <c r="G10" s="958"/>
      <c r="H10" s="1691"/>
      <c r="I10" s="1660"/>
      <c r="J10" s="1694"/>
      <c r="K10" s="1698"/>
      <c r="L10" s="1692" t="s">
        <v>325</v>
      </c>
      <c r="M10" s="1792"/>
      <c r="N10" s="271"/>
      <c r="O10" s="1547"/>
      <c r="P10" s="1547"/>
      <c r="AH10" s="1554">
        <v>0</v>
      </c>
    </row>
    <row r="11" spans="1:34" ht="14.25" hidden="1" customHeight="1">
      <c r="AH11" s="310">
        <v>0</v>
      </c>
    </row>
    <row r="12" spans="1:34" ht="14.25" hidden="1" customHeight="1">
      <c r="AH12" s="310">
        <v>0</v>
      </c>
    </row>
    <row r="13" spans="1:34" ht="6.4" customHeight="1">
      <c r="D13" s="312"/>
      <c r="E13" s="299"/>
      <c r="F13" s="299"/>
      <c r="G13" s="299"/>
      <c r="H13" s="299"/>
      <c r="I13" s="299"/>
      <c r="J13" s="299"/>
      <c r="K13" s="299"/>
      <c r="L13" s="24"/>
      <c r="M13" s="24"/>
      <c r="AH13" s="310">
        <v>6</v>
      </c>
    </row>
    <row r="14" spans="1:34" ht="14.65" customHeight="1">
      <c r="D14" s="312"/>
      <c r="E14" s="272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726"/>
      <c r="G14" s="2726"/>
      <c r="H14" s="2726"/>
      <c r="I14" s="2726"/>
      <c r="J14" s="2726"/>
      <c r="K14" s="2726"/>
      <c r="L14" s="2726"/>
      <c r="M14" s="157"/>
      <c r="AH14" s="310">
        <v>14</v>
      </c>
    </row>
    <row r="15" spans="1:34" ht="6.4" customHeight="1">
      <c r="D15" s="312"/>
      <c r="E15" s="299"/>
      <c r="F15" s="325"/>
      <c r="G15" s="325"/>
      <c r="H15" s="325"/>
      <c r="I15" s="325"/>
      <c r="J15" s="325"/>
      <c r="K15" s="325"/>
      <c r="L15" s="259"/>
      <c r="M15" s="130"/>
      <c r="AH15" s="310">
        <v>6</v>
      </c>
    </row>
    <row r="16" spans="1:34" ht="24" customHeight="1">
      <c r="D16" s="312"/>
      <c r="E16" s="299"/>
      <c r="F16" s="242" t="str">
        <f>"Дата подачи заявления об "&amp;IF(TITLE_DATE_PR_CHANGE="","утверждении","изменении")&amp;" тарифов"</f>
        <v>Дата подачи заявления об утверждении тарифов</v>
      </c>
      <c r="G16" s="2508" t="str">
        <f>IF(TITLE_DATE_PR_CHANGE="",IF(TITLE_DATE_PR="","",TITLE_DATE_PR),TITLE_DATE_PR_CHANGE)</f>
        <v/>
      </c>
      <c r="H16" s="2508"/>
      <c r="I16" s="2508"/>
      <c r="J16" s="2508"/>
      <c r="K16" s="2508"/>
      <c r="L16" s="2508"/>
      <c r="M16" s="334"/>
      <c r="N16" s="263"/>
      <c r="AH16" s="310">
        <v>23</v>
      </c>
    </row>
    <row r="17" spans="1:34" ht="24" customHeight="1">
      <c r="D17" s="312"/>
      <c r="E17" s="299"/>
      <c r="F17" s="242" t="str">
        <f>"Номер подачи заявления об "&amp;IF(TITLE_DATE_PR_CHANGE="","утверждении","изменении")&amp;" тарифов"</f>
        <v>Номер подачи заявления об утверждении тарифов</v>
      </c>
      <c r="G17" s="2499" t="str">
        <f>IF(TITLE_NUMBER_PR_CHANGE="",IF(TITLE_NUMBER_PR="","",TITLE_NUMBER_PR),TITLE_NUMBER_PR_CHANGE)</f>
        <v/>
      </c>
      <c r="H17" s="2499"/>
      <c r="I17" s="2499"/>
      <c r="J17" s="2499"/>
      <c r="K17" s="2499"/>
      <c r="L17" s="2499"/>
      <c r="M17" s="334"/>
      <c r="N17" s="263"/>
      <c r="AH17" s="310">
        <v>23</v>
      </c>
    </row>
    <row r="18" spans="1:34" ht="14.65" customHeight="1">
      <c r="D18" s="312"/>
      <c r="E18" s="299"/>
      <c r="F18" s="325"/>
      <c r="G18" s="325"/>
      <c r="H18" s="325"/>
      <c r="I18" s="325"/>
      <c r="J18" s="325"/>
      <c r="K18" s="325"/>
      <c r="L18" s="687"/>
      <c r="M18" s="130"/>
      <c r="AH18" s="310">
        <v>14</v>
      </c>
    </row>
    <row r="19" spans="1:34" ht="21.95" customHeight="1">
      <c r="D19" s="312"/>
      <c r="E19" s="2466" t="s">
        <v>319</v>
      </c>
      <c r="F19" s="2466"/>
      <c r="G19" s="2466"/>
      <c r="H19" s="2466"/>
      <c r="I19" s="2466"/>
      <c r="J19" s="2466"/>
      <c r="K19" s="2466"/>
      <c r="L19" s="2466"/>
      <c r="M19" s="2626" t="s">
        <v>320</v>
      </c>
      <c r="AH19" s="310">
        <v>21</v>
      </c>
    </row>
    <row r="20" spans="1:34" ht="21.95" customHeight="1">
      <c r="D20" s="312"/>
      <c r="E20" s="2518" t="s">
        <v>89</v>
      </c>
      <c r="F20" s="2479" t="s">
        <v>143</v>
      </c>
      <c r="G20" s="2479" t="s">
        <v>144</v>
      </c>
      <c r="H20" s="2623" t="s">
        <v>1353</v>
      </c>
      <c r="I20" s="2624"/>
      <c r="J20" s="2703"/>
      <c r="K20" s="2479" t="s">
        <v>322</v>
      </c>
      <c r="L20" s="2479" t="s">
        <v>409</v>
      </c>
      <c r="M20" s="2626"/>
      <c r="AH20" s="310">
        <v>21</v>
      </c>
    </row>
    <row r="21" spans="1:34" ht="21.95" customHeight="1">
      <c r="D21" s="312"/>
      <c r="E21" s="2520"/>
      <c r="F21" s="2480"/>
      <c r="G21" s="2480"/>
      <c r="H21" s="2474" t="s">
        <v>1354</v>
      </c>
      <c r="I21" s="2476"/>
      <c r="J21" s="47" t="s">
        <v>1355</v>
      </c>
      <c r="K21" s="2480"/>
      <c r="L21" s="2480"/>
      <c r="M21" s="2626"/>
      <c r="AH21" s="310">
        <v>21</v>
      </c>
    </row>
    <row r="22" spans="1:34" ht="12.75" customHeight="1">
      <c r="D22" s="312"/>
      <c r="E22" s="218"/>
      <c r="F22" s="218"/>
      <c r="G22" s="218"/>
      <c r="H22" s="2728"/>
      <c r="I22" s="2728"/>
      <c r="J22" s="218"/>
      <c r="K22" s="218"/>
      <c r="L22" s="218"/>
      <c r="M22" s="218"/>
      <c r="AH22" s="310">
        <v>12</v>
      </c>
    </row>
    <row r="23" spans="1:34" ht="19.899999999999999" customHeight="1">
      <c r="A23" s="1700"/>
      <c r="B23" s="1700"/>
      <c r="D23" s="312"/>
      <c r="E23" s="1783" t="s">
        <v>100</v>
      </c>
      <c r="F23" s="2729" t="str">
        <f>"Предлагаемый метод регулирования"&amp;IF(TEMPLATE_SPHERE="HEAT"," в сфере "&amp;TEMPLATE_SPHERE_RUS,"")</f>
        <v>Предлагаемый метод регулирования в сфере теплоснабжения</v>
      </c>
      <c r="G23" s="2729"/>
      <c r="H23" s="2722"/>
      <c r="I23" s="2722"/>
      <c r="J23" s="2722"/>
      <c r="K23" s="2729" t="s">
        <v>325</v>
      </c>
      <c r="L23" s="2722"/>
      <c r="M23" s="1690"/>
      <c r="N23" s="271"/>
      <c r="AH23" s="310">
        <v>19</v>
      </c>
    </row>
    <row r="24" spans="1:34" ht="60.75" hidden="1" customHeight="1">
      <c r="A24" s="1700" t="s">
        <v>176</v>
      </c>
      <c r="B24" s="1700" t="s">
        <v>177</v>
      </c>
      <c r="D24" s="2727"/>
      <c r="E24" s="2461"/>
      <c r="F24" s="273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692" t="str">
        <f>INDEX(PT_DIFFERENTIATION_NTAR,MATCH(B24,PT_DIFFERENTIATION_NTAR_ID,0))</f>
        <v/>
      </c>
      <c r="H24" s="1779"/>
      <c r="I24" s="1660"/>
      <c r="J24" s="1694"/>
      <c r="K24" s="1782"/>
      <c r="L24" s="1689" t="s">
        <v>325</v>
      </c>
      <c r="M24" s="242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0">
        <v>0</v>
      </c>
    </row>
    <row r="25" spans="1:34" s="1558" customFormat="1" ht="18.75" hidden="1" customHeight="1">
      <c r="A25" s="1700"/>
      <c r="B25" s="1700"/>
      <c r="C25" s="305" t="s">
        <v>1350</v>
      </c>
      <c r="D25" s="2727"/>
      <c r="E25" s="2461"/>
      <c r="F25" s="2730"/>
      <c r="G25" s="2692"/>
      <c r="H25" s="1423"/>
      <c r="I25" s="587" t="s">
        <v>1351</v>
      </c>
      <c r="J25" s="507"/>
      <c r="K25" s="1423"/>
      <c r="L25" s="151"/>
      <c r="M25" s="2430"/>
      <c r="N25" s="271"/>
      <c r="O25" s="1547"/>
      <c r="P25" s="1547"/>
      <c r="AH25" s="1554">
        <v>0</v>
      </c>
    </row>
    <row r="26" spans="1:34" ht="0.75" hidden="1" customHeight="1">
      <c r="A26" s="1700"/>
      <c r="B26" s="1700"/>
      <c r="C26" s="305" t="s">
        <v>1356</v>
      </c>
      <c r="D26" s="2727"/>
      <c r="E26" s="2461"/>
      <c r="F26" s="2616"/>
      <c r="G26" s="336"/>
      <c r="H26" s="1423"/>
      <c r="I26" s="331"/>
      <c r="J26" s="285"/>
      <c r="K26" s="1423"/>
      <c r="L26" s="138"/>
      <c r="M26" s="2430"/>
      <c r="N26" s="271"/>
      <c r="AH26" s="310">
        <v>0</v>
      </c>
    </row>
    <row r="27" spans="1:34" s="1558" customFormat="1" ht="45" hidden="1" customHeight="1">
      <c r="A27" s="1700" t="s">
        <v>181</v>
      </c>
      <c r="B27" s="1700" t="s">
        <v>182</v>
      </c>
      <c r="C27" s="305"/>
      <c r="D27" s="2723"/>
      <c r="E27" s="2724"/>
      <c r="F27" s="2725" t="str">
        <f>INDEX(PT_DIFFERENTIATION_VTAR,MATCH(A27,PT_DIFFERENTIATION_VTAR_ID,0))</f>
        <v/>
      </c>
      <c r="G27" s="2692" t="str">
        <f>INDEX(PT_DIFFERENTIATION_NTAR,MATCH(B27,PT_DIFFERENTIATION_NTAR_ID,0))</f>
        <v/>
      </c>
      <c r="H27" s="1779"/>
      <c r="I27" s="1660"/>
      <c r="J27" s="1694"/>
      <c r="K27" s="1782"/>
      <c r="L27" s="1779" t="s">
        <v>325</v>
      </c>
      <c r="M27" s="2430"/>
      <c r="N27" s="271"/>
      <c r="O27" s="1547"/>
      <c r="P27" s="1547"/>
      <c r="AH27" s="1554">
        <v>0</v>
      </c>
    </row>
    <row r="28" spans="1:34" s="1558" customFormat="1" ht="18.75" hidden="1" customHeight="1">
      <c r="A28" s="1700"/>
      <c r="B28" s="1700"/>
      <c r="C28" s="305" t="s">
        <v>1350</v>
      </c>
      <c r="D28" s="2723"/>
      <c r="E28" s="2724"/>
      <c r="F28" s="2725"/>
      <c r="G28" s="2692"/>
      <c r="H28" s="1423"/>
      <c r="I28" s="587" t="s">
        <v>1351</v>
      </c>
      <c r="J28" s="507"/>
      <c r="K28" s="1423"/>
      <c r="L28" s="151"/>
      <c r="M28" s="2430"/>
      <c r="N28" s="271"/>
      <c r="O28" s="1547"/>
      <c r="P28" s="1547"/>
      <c r="AH28" s="1554">
        <v>0</v>
      </c>
    </row>
    <row r="29" spans="1:34" s="1558" customFormat="1" ht="0.75" hidden="1" customHeight="1">
      <c r="A29" s="1700"/>
      <c r="B29" s="1700"/>
      <c r="C29" s="305" t="s">
        <v>1356</v>
      </c>
      <c r="D29" s="2723"/>
      <c r="E29" s="2461"/>
      <c r="F29" s="2616"/>
      <c r="G29" s="336"/>
      <c r="H29" s="1423"/>
      <c r="I29" s="587"/>
      <c r="J29" s="507"/>
      <c r="K29" s="1423"/>
      <c r="L29" s="151"/>
      <c r="M29" s="2430"/>
      <c r="N29" s="271"/>
      <c r="O29" s="1547"/>
      <c r="P29" s="1547"/>
      <c r="AH29" s="1554">
        <v>0</v>
      </c>
    </row>
    <row r="30" spans="1:34" s="1558" customFormat="1" ht="45" hidden="1" customHeight="1">
      <c r="A30" s="1700" t="s">
        <v>188</v>
      </c>
      <c r="B30" s="1700" t="s">
        <v>189</v>
      </c>
      <c r="C30" s="305"/>
      <c r="D30" s="2723"/>
      <c r="E30" s="2461"/>
      <c r="F30" s="261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692" t="str">
        <f>INDEX(PT_DIFFERENTIATION_NTAR,MATCH(B30,PT_DIFFERENTIATION_NTAR_ID,0))</f>
        <v/>
      </c>
      <c r="H30" s="1779"/>
      <c r="I30" s="1660"/>
      <c r="J30" s="1694"/>
      <c r="K30" s="1782"/>
      <c r="L30" s="1779" t="s">
        <v>325</v>
      </c>
      <c r="M30" s="2430"/>
      <c r="N30" s="271"/>
      <c r="O30" s="1547"/>
      <c r="P30" s="1547"/>
      <c r="AH30" s="1554">
        <v>0</v>
      </c>
    </row>
    <row r="31" spans="1:34" s="1558" customFormat="1" ht="18.75" hidden="1" customHeight="1">
      <c r="A31" s="1700"/>
      <c r="B31" s="1700"/>
      <c r="C31" s="305" t="s">
        <v>1350</v>
      </c>
      <c r="D31" s="2723"/>
      <c r="E31" s="2461"/>
      <c r="F31" s="2616"/>
      <c r="G31" s="2692"/>
      <c r="H31" s="1423"/>
      <c r="I31" s="587" t="s">
        <v>1351</v>
      </c>
      <c r="J31" s="507"/>
      <c r="K31" s="1423"/>
      <c r="L31" s="151"/>
      <c r="M31" s="2430"/>
      <c r="N31" s="271"/>
      <c r="O31" s="1547"/>
      <c r="P31" s="1547"/>
      <c r="AH31" s="1554">
        <v>0</v>
      </c>
    </row>
    <row r="32" spans="1:34" s="1558" customFormat="1" ht="0.75" hidden="1" customHeight="1">
      <c r="A32" s="1700"/>
      <c r="B32" s="1700"/>
      <c r="C32" s="305" t="s">
        <v>1356</v>
      </c>
      <c r="D32" s="2723"/>
      <c r="E32" s="2461"/>
      <c r="F32" s="2616"/>
      <c r="G32" s="336"/>
      <c r="H32" s="1423"/>
      <c r="I32" s="587"/>
      <c r="J32" s="507"/>
      <c r="K32" s="1423"/>
      <c r="L32" s="151"/>
      <c r="M32" s="2430"/>
      <c r="N32" s="271"/>
      <c r="O32" s="1547"/>
      <c r="P32" s="1547"/>
      <c r="AH32" s="1554">
        <v>0</v>
      </c>
    </row>
    <row r="33" spans="1:34" s="1558" customFormat="1" ht="45" hidden="1" customHeight="1">
      <c r="A33" s="1700" t="s">
        <v>194</v>
      </c>
      <c r="B33" s="1700" t="s">
        <v>195</v>
      </c>
      <c r="C33" s="305"/>
      <c r="D33" s="2723"/>
      <c r="E33" s="2461"/>
      <c r="F33" s="261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692" t="str">
        <f>INDEX(PT_DIFFERENTIATION_NTAR,MATCH(B33,PT_DIFFERENTIATION_NTAR_ID,0))</f>
        <v/>
      </c>
      <c r="H33" s="1779"/>
      <c r="I33" s="1660"/>
      <c r="J33" s="1694"/>
      <c r="K33" s="1782"/>
      <c r="L33" s="1779" t="s">
        <v>325</v>
      </c>
      <c r="M33" s="2430"/>
      <c r="N33" s="271"/>
      <c r="O33" s="1547"/>
      <c r="P33" s="1547"/>
      <c r="AH33" s="1554">
        <v>0</v>
      </c>
    </row>
    <row r="34" spans="1:34" s="1558" customFormat="1" ht="18.75" hidden="1" customHeight="1">
      <c r="A34" s="1700"/>
      <c r="B34" s="1700"/>
      <c r="C34" s="305" t="s">
        <v>1350</v>
      </c>
      <c r="D34" s="2723"/>
      <c r="E34" s="2461"/>
      <c r="F34" s="2616"/>
      <c r="G34" s="2692"/>
      <c r="H34" s="1423"/>
      <c r="I34" s="587" t="s">
        <v>1351</v>
      </c>
      <c r="J34" s="507"/>
      <c r="K34" s="1423"/>
      <c r="L34" s="151"/>
      <c r="M34" s="2430"/>
      <c r="N34" s="271"/>
      <c r="O34" s="1547"/>
      <c r="P34" s="1547"/>
      <c r="AH34" s="1554">
        <v>0</v>
      </c>
    </row>
    <row r="35" spans="1:34" s="1558" customFormat="1" ht="0.75" hidden="1" customHeight="1">
      <c r="A35" s="1700"/>
      <c r="B35" s="1700"/>
      <c r="C35" s="305" t="s">
        <v>1356</v>
      </c>
      <c r="D35" s="2723"/>
      <c r="E35" s="2461"/>
      <c r="F35" s="2616"/>
      <c r="G35" s="336"/>
      <c r="H35" s="1423"/>
      <c r="I35" s="587"/>
      <c r="J35" s="507"/>
      <c r="K35" s="1423"/>
      <c r="L35" s="151"/>
      <c r="M35" s="2430"/>
      <c r="N35" s="271"/>
      <c r="O35" s="1547"/>
      <c r="P35" s="1547"/>
      <c r="AH35" s="1554">
        <v>0</v>
      </c>
    </row>
    <row r="36" spans="1:34" s="1558" customFormat="1" ht="18.75" hidden="1" customHeight="1">
      <c r="A36" s="1700" t="s">
        <v>200</v>
      </c>
      <c r="B36" s="1700" t="s">
        <v>201</v>
      </c>
      <c r="C36" s="305"/>
      <c r="D36" s="2723"/>
      <c r="E36" s="2461"/>
      <c r="F36" s="2616" t="str">
        <f>INDEX(PT_DIFFERENTIATION_VTAR,MATCH(A36,PT_DIFFERENTIATION_VTAR_ID,0))</f>
        <v>Тарифы на услуги по передаче тепловой энергии</v>
      </c>
      <c r="G36" s="2692" t="str">
        <f>INDEX(PT_DIFFERENTIATION_NTAR,MATCH(B36,PT_DIFFERENTIATION_NTAR_ID,0))</f>
        <v/>
      </c>
      <c r="H36" s="1779"/>
      <c r="I36" s="1660"/>
      <c r="J36" s="1694"/>
      <c r="K36" s="1782"/>
      <c r="L36" s="1779" t="s">
        <v>325</v>
      </c>
      <c r="M36" s="2430"/>
      <c r="N36" s="271"/>
      <c r="O36" s="1547"/>
      <c r="P36" s="1547"/>
      <c r="AH36" s="1554">
        <v>0</v>
      </c>
    </row>
    <row r="37" spans="1:34" s="1558" customFormat="1" ht="18.75" hidden="1" customHeight="1">
      <c r="A37" s="1700"/>
      <c r="B37" s="1700"/>
      <c r="C37" s="305" t="s">
        <v>1350</v>
      </c>
      <c r="D37" s="2723"/>
      <c r="E37" s="2461"/>
      <c r="F37" s="2616"/>
      <c r="G37" s="2692"/>
      <c r="H37" s="1423"/>
      <c r="I37" s="587" t="s">
        <v>1351</v>
      </c>
      <c r="J37" s="507"/>
      <c r="K37" s="1423"/>
      <c r="L37" s="151"/>
      <c r="M37" s="2430"/>
      <c r="N37" s="271"/>
      <c r="O37" s="1547"/>
      <c r="P37" s="1547"/>
      <c r="AH37" s="1554">
        <v>0</v>
      </c>
    </row>
    <row r="38" spans="1:34" s="1558" customFormat="1" ht="0.75" hidden="1" customHeight="1">
      <c r="A38" s="1700"/>
      <c r="B38" s="1700"/>
      <c r="C38" s="305" t="s">
        <v>1356</v>
      </c>
      <c r="D38" s="2723"/>
      <c r="E38" s="2461"/>
      <c r="F38" s="2616"/>
      <c r="G38" s="336"/>
      <c r="H38" s="1423"/>
      <c r="I38" s="587"/>
      <c r="J38" s="507"/>
      <c r="K38" s="1423"/>
      <c r="L38" s="151"/>
      <c r="M38" s="2430"/>
      <c r="N38" s="271"/>
      <c r="O38" s="1547"/>
      <c r="P38" s="1547"/>
      <c r="AH38" s="1554">
        <v>0</v>
      </c>
    </row>
    <row r="39" spans="1:34" s="1558" customFormat="1" ht="18.75" hidden="1" customHeight="1">
      <c r="A39" s="1700" t="s">
        <v>206</v>
      </c>
      <c r="B39" s="1700" t="s">
        <v>207</v>
      </c>
      <c r="C39" s="305"/>
      <c r="D39" s="2723"/>
      <c r="E39" s="2461"/>
      <c r="F39" s="2616" t="str">
        <f>INDEX(PT_DIFFERENTIATION_VTAR,MATCH(A39,PT_DIFFERENTIATION_VTAR_ID,0))</f>
        <v>Тарифы на услуги по передаче теплоносителя</v>
      </c>
      <c r="G39" s="2692" t="str">
        <f>INDEX(PT_DIFFERENTIATION_NTAR,MATCH(B39,PT_DIFFERENTIATION_NTAR_ID,0))</f>
        <v/>
      </c>
      <c r="H39" s="1779"/>
      <c r="I39" s="1660"/>
      <c r="J39" s="1694"/>
      <c r="K39" s="1782"/>
      <c r="L39" s="1779" t="s">
        <v>325</v>
      </c>
      <c r="M39" s="2430"/>
      <c r="N39" s="271"/>
      <c r="O39" s="1547"/>
      <c r="P39" s="1547"/>
      <c r="AH39" s="1554">
        <v>0</v>
      </c>
    </row>
    <row r="40" spans="1:34" s="1558" customFormat="1" ht="18.75" hidden="1" customHeight="1">
      <c r="A40" s="1700"/>
      <c r="B40" s="1700"/>
      <c r="C40" s="305" t="s">
        <v>1350</v>
      </c>
      <c r="D40" s="2723"/>
      <c r="E40" s="2461"/>
      <c r="F40" s="2616"/>
      <c r="G40" s="2692"/>
      <c r="H40" s="1423"/>
      <c r="I40" s="587" t="s">
        <v>1351</v>
      </c>
      <c r="J40" s="507"/>
      <c r="K40" s="1423"/>
      <c r="L40" s="151"/>
      <c r="M40" s="2430"/>
      <c r="N40" s="271"/>
      <c r="O40" s="1547"/>
      <c r="P40" s="1547"/>
      <c r="AH40" s="1554">
        <v>0</v>
      </c>
    </row>
    <row r="41" spans="1:34" s="1558" customFormat="1" ht="0.75" hidden="1" customHeight="1">
      <c r="A41" s="1700"/>
      <c r="B41" s="1700"/>
      <c r="C41" s="305" t="s">
        <v>1356</v>
      </c>
      <c r="D41" s="2723"/>
      <c r="E41" s="2461"/>
      <c r="F41" s="2616"/>
      <c r="G41" s="336"/>
      <c r="H41" s="1423"/>
      <c r="I41" s="587"/>
      <c r="J41" s="507"/>
      <c r="K41" s="1423"/>
      <c r="L41" s="151"/>
      <c r="M41" s="2430"/>
      <c r="N41" s="271"/>
      <c r="O41" s="1547"/>
      <c r="P41" s="1547"/>
      <c r="AH41" s="1554">
        <v>0</v>
      </c>
    </row>
    <row r="42" spans="1:34" s="1558" customFormat="1" ht="18.75" hidden="1" customHeight="1">
      <c r="A42" s="1700" t="s">
        <v>212</v>
      </c>
      <c r="B42" s="1700" t="s">
        <v>213</v>
      </c>
      <c r="C42" s="305"/>
      <c r="D42" s="2723"/>
      <c r="E42" s="2461"/>
      <c r="F42" s="2616" t="str">
        <f>INDEX(PT_DIFFERENTIATION_VTAR,MATCH(A42,PT_DIFFERENTIATION_VTAR_ID,0))</f>
        <v>Плата за услуги по поддержанию резервной тепловой мощности при отсутствии потребления тепловой энергии</v>
      </c>
      <c r="G42" s="2692" t="str">
        <f>INDEX(PT_DIFFERENTIATION_NTAR,MATCH(B42,PT_DIFFERENTIATION_NTAR_ID,0))</f>
        <v/>
      </c>
      <c r="H42" s="1779"/>
      <c r="I42" s="1660"/>
      <c r="J42" s="1694"/>
      <c r="K42" s="1782"/>
      <c r="L42" s="1779" t="s">
        <v>325</v>
      </c>
      <c r="M42" s="2430"/>
      <c r="N42" s="271"/>
      <c r="O42" s="1547"/>
      <c r="P42" s="1547"/>
      <c r="AH42" s="1554">
        <v>0</v>
      </c>
    </row>
    <row r="43" spans="1:34" s="1558" customFormat="1" ht="18.75" hidden="1" customHeight="1">
      <c r="A43" s="1700"/>
      <c r="B43" s="1700"/>
      <c r="C43" s="305" t="s">
        <v>1350</v>
      </c>
      <c r="D43" s="2723"/>
      <c r="E43" s="2461"/>
      <c r="F43" s="2616"/>
      <c r="G43" s="2692"/>
      <c r="H43" s="1423"/>
      <c r="I43" s="587" t="s">
        <v>1351</v>
      </c>
      <c r="J43" s="507"/>
      <c r="K43" s="1423"/>
      <c r="L43" s="151"/>
      <c r="M43" s="2430"/>
      <c r="N43" s="271"/>
      <c r="O43" s="1547"/>
      <c r="P43" s="1547"/>
      <c r="AH43" s="1554">
        <v>0</v>
      </c>
    </row>
    <row r="44" spans="1:34" s="1558" customFormat="1" ht="0.75" hidden="1" customHeight="1">
      <c r="A44" s="1700"/>
      <c r="B44" s="1700"/>
      <c r="C44" s="305" t="s">
        <v>1356</v>
      </c>
      <c r="D44" s="2723"/>
      <c r="E44" s="2461"/>
      <c r="F44" s="2616"/>
      <c r="G44" s="336"/>
      <c r="H44" s="1423"/>
      <c r="I44" s="587"/>
      <c r="J44" s="507"/>
      <c r="K44" s="1423"/>
      <c r="L44" s="151"/>
      <c r="M44" s="2430"/>
      <c r="N44" s="271"/>
      <c r="O44" s="1547"/>
      <c r="P44" s="1547"/>
      <c r="AH44" s="1554">
        <v>0</v>
      </c>
    </row>
    <row r="45" spans="1:34" s="1558" customFormat="1" ht="18.75" hidden="1" customHeight="1">
      <c r="A45" s="1700" t="s">
        <v>218</v>
      </c>
      <c r="B45" s="1700" t="s">
        <v>219</v>
      </c>
      <c r="C45" s="305"/>
      <c r="D45" s="2723"/>
      <c r="E45" s="2461"/>
      <c r="F45" s="2616" t="str">
        <f>INDEX(PT_DIFFERENTIATION_VTAR,MATCH(A45,PT_DIFFERENTIATION_VTAR_ID,0))</f>
        <v>Плата за подключение (технологическое присоединение) к системе теплоснабжения</v>
      </c>
      <c r="G45" s="2692" t="str">
        <f>INDEX(PT_DIFFERENTIATION_NTAR,MATCH(B45,PT_DIFFERENTIATION_NTAR_ID,0))</f>
        <v/>
      </c>
      <c r="H45" s="1779"/>
      <c r="I45" s="2044"/>
      <c r="J45" s="2045"/>
      <c r="K45" s="491"/>
      <c r="L45" s="1779" t="s">
        <v>325</v>
      </c>
      <c r="M45" s="2430"/>
      <c r="N45" s="271"/>
      <c r="O45" s="1547"/>
      <c r="P45" s="1547"/>
      <c r="AH45" s="1554">
        <v>0</v>
      </c>
    </row>
    <row r="46" spans="1:34" s="1558" customFormat="1" ht="18.75" hidden="1" customHeight="1">
      <c r="A46" s="1700"/>
      <c r="B46" s="1700"/>
      <c r="C46" s="305" t="s">
        <v>1350</v>
      </c>
      <c r="D46" s="2723"/>
      <c r="E46" s="2461"/>
      <c r="F46" s="2616"/>
      <c r="G46" s="2692"/>
      <c r="H46" s="1423"/>
      <c r="I46" s="587" t="s">
        <v>1351</v>
      </c>
      <c r="J46" s="507"/>
      <c r="K46" s="1423"/>
      <c r="L46" s="151"/>
      <c r="M46" s="2430"/>
      <c r="N46" s="271"/>
      <c r="O46" s="1547"/>
      <c r="P46" s="1547"/>
      <c r="AH46" s="1554">
        <v>0</v>
      </c>
    </row>
    <row r="47" spans="1:34" s="1558" customFormat="1" ht="0.75" hidden="1" customHeight="1">
      <c r="A47" s="1700"/>
      <c r="B47" s="1700"/>
      <c r="C47" s="305" t="s">
        <v>1356</v>
      </c>
      <c r="D47" s="2723"/>
      <c r="E47" s="2461"/>
      <c r="F47" s="2616"/>
      <c r="G47" s="336"/>
      <c r="H47" s="1423"/>
      <c r="I47" s="587"/>
      <c r="J47" s="507"/>
      <c r="K47" s="1423"/>
      <c r="L47" s="151"/>
      <c r="M47" s="2430"/>
      <c r="N47" s="271"/>
      <c r="O47" s="1547"/>
      <c r="P47" s="1547"/>
      <c r="AH47" s="1554">
        <v>0</v>
      </c>
    </row>
    <row r="48" spans="1:34" s="1558" customFormat="1" ht="18.75" hidden="1" customHeight="1">
      <c r="A48" s="1700" t="s">
        <v>224</v>
      </c>
      <c r="B48" s="1700" t="s">
        <v>225</v>
      </c>
      <c r="C48" s="305"/>
      <c r="D48" s="2723"/>
      <c r="E48" s="2461"/>
      <c r="F48" s="2616" t="str">
        <f>INDEX(PT_DIFFERENTIATION_VTAR,MATCH(A48,PT_DIFFERENTIATION_VTAR_ID,0))</f>
        <v>Плата за подключение (технологическое присоединение) к системе теплоснабжения (индивидуальная)</v>
      </c>
      <c r="G48" s="2692" t="str">
        <f>INDEX(PT_DIFFERENTIATION_NTAR,MATCH(B48,PT_DIFFERENTIATION_NTAR_ID,0))</f>
        <v/>
      </c>
      <c r="H48" s="1903"/>
      <c r="I48" s="2044"/>
      <c r="J48" s="2045"/>
      <c r="K48" s="491"/>
      <c r="L48" s="1903" t="s">
        <v>325</v>
      </c>
      <c r="M48" s="2430"/>
      <c r="N48" s="271"/>
      <c r="O48" s="1547"/>
      <c r="P48" s="1547"/>
      <c r="AH48" s="1554">
        <v>0</v>
      </c>
    </row>
    <row r="49" spans="1:34" s="1558" customFormat="1" ht="18.75" hidden="1" customHeight="1">
      <c r="A49" s="1700"/>
      <c r="B49" s="1700"/>
      <c r="C49" s="305" t="s">
        <v>1350</v>
      </c>
      <c r="D49" s="2723"/>
      <c r="E49" s="2461"/>
      <c r="F49" s="2616"/>
      <c r="G49" s="2692"/>
      <c r="H49" s="1423"/>
      <c r="I49" s="587" t="s">
        <v>1351</v>
      </c>
      <c r="J49" s="507"/>
      <c r="K49" s="1423"/>
      <c r="L49" s="151"/>
      <c r="M49" s="2430"/>
      <c r="N49" s="271"/>
      <c r="O49" s="1547"/>
      <c r="P49" s="1547"/>
      <c r="AH49" s="1554">
        <v>0</v>
      </c>
    </row>
    <row r="50" spans="1:34" s="1558" customFormat="1" ht="0.75" hidden="1" customHeight="1">
      <c r="A50" s="1700"/>
      <c r="B50" s="1700"/>
      <c r="C50" s="305" t="s">
        <v>1356</v>
      </c>
      <c r="D50" s="2723"/>
      <c r="E50" s="2461"/>
      <c r="F50" s="2616"/>
      <c r="G50" s="336"/>
      <c r="H50" s="1423"/>
      <c r="I50" s="587"/>
      <c r="J50" s="507"/>
      <c r="K50" s="1423"/>
      <c r="L50" s="151"/>
      <c r="M50" s="2430"/>
      <c r="N50" s="271"/>
      <c r="O50" s="1547"/>
      <c r="P50" s="1547"/>
      <c r="AH50" s="1554">
        <v>0</v>
      </c>
    </row>
    <row r="51" spans="1:34" s="1558" customFormat="1" ht="18.75" hidden="1" customHeight="1">
      <c r="A51" s="1700" t="s">
        <v>244</v>
      </c>
      <c r="B51" s="1700" t="s">
        <v>245</v>
      </c>
      <c r="C51" s="305"/>
      <c r="D51" s="2723"/>
      <c r="E51" s="2461"/>
      <c r="F51" s="2616" t="str">
        <f>INDEX(PT_DIFFERENTIATION_VTAR,MATCH(A51,PT_DIFFERENTIATION_VTAR_ID,0))</f>
        <v>Тариф на питьевую воду (питьевое водоснабжение)</v>
      </c>
      <c r="G51" s="2692" t="str">
        <f>INDEX(PT_DIFFERENTIATION_NTAR,MATCH(B51,PT_DIFFERENTIATION_NTAR_ID,0))</f>
        <v/>
      </c>
      <c r="H51" s="1779"/>
      <c r="I51" s="1660"/>
      <c r="J51" s="1694"/>
      <c r="K51" s="1782"/>
      <c r="L51" s="1779" t="s">
        <v>325</v>
      </c>
      <c r="M51" s="2430"/>
      <c r="N51" s="271"/>
      <c r="O51" s="1547"/>
      <c r="P51" s="1547"/>
      <c r="AH51" s="1554">
        <v>0</v>
      </c>
    </row>
    <row r="52" spans="1:34" s="1558" customFormat="1" ht="18.75" hidden="1" customHeight="1">
      <c r="A52" s="1700"/>
      <c r="B52" s="1700"/>
      <c r="C52" s="305" t="s">
        <v>1350</v>
      </c>
      <c r="D52" s="2723"/>
      <c r="E52" s="2461"/>
      <c r="F52" s="2616"/>
      <c r="G52" s="2692"/>
      <c r="H52" s="1423"/>
      <c r="I52" s="587" t="s">
        <v>1351</v>
      </c>
      <c r="J52" s="507"/>
      <c r="K52" s="1423"/>
      <c r="L52" s="151"/>
      <c r="M52" s="2430"/>
      <c r="N52" s="271"/>
      <c r="O52" s="1547"/>
      <c r="P52" s="1547"/>
      <c r="AH52" s="1554">
        <v>0</v>
      </c>
    </row>
    <row r="53" spans="1:34" s="1558" customFormat="1" ht="0.75" hidden="1" customHeight="1">
      <c r="A53" s="1700"/>
      <c r="B53" s="1700"/>
      <c r="C53" s="305" t="s">
        <v>1356</v>
      </c>
      <c r="D53" s="2723"/>
      <c r="E53" s="2461"/>
      <c r="F53" s="2616"/>
      <c r="G53" s="336"/>
      <c r="H53" s="1423"/>
      <c r="I53" s="587"/>
      <c r="J53" s="507"/>
      <c r="K53" s="1423"/>
      <c r="L53" s="151"/>
      <c r="M53" s="2430"/>
      <c r="N53" s="271"/>
      <c r="O53" s="1547"/>
      <c r="P53" s="1547"/>
      <c r="AH53" s="1554">
        <v>0</v>
      </c>
    </row>
    <row r="54" spans="1:34" s="1558" customFormat="1" ht="18.75" hidden="1" customHeight="1">
      <c r="A54" s="1700" t="s">
        <v>249</v>
      </c>
      <c r="B54" s="1700" t="s">
        <v>250</v>
      </c>
      <c r="C54" s="305"/>
      <c r="D54" s="2723"/>
      <c r="E54" s="2461"/>
      <c r="F54" s="2616" t="str">
        <f>INDEX(PT_DIFFERENTIATION_VTAR,MATCH(A54,PT_DIFFERENTIATION_VTAR_ID,0))</f>
        <v>Тариф на техническую воду</v>
      </c>
      <c r="G54" s="2692" t="str">
        <f>INDEX(PT_DIFFERENTIATION_NTAR,MATCH(B54,PT_DIFFERENTIATION_NTAR_ID,0))</f>
        <v/>
      </c>
      <c r="H54" s="1779"/>
      <c r="I54" s="1660"/>
      <c r="J54" s="1694"/>
      <c r="K54" s="1782"/>
      <c r="L54" s="1779" t="s">
        <v>325</v>
      </c>
      <c r="M54" s="2430"/>
      <c r="N54" s="271"/>
      <c r="O54" s="1547"/>
      <c r="P54" s="1547"/>
      <c r="AH54" s="1554">
        <v>0</v>
      </c>
    </row>
    <row r="55" spans="1:34" s="1558" customFormat="1" ht="18.75" hidden="1" customHeight="1">
      <c r="A55" s="1700"/>
      <c r="B55" s="1700"/>
      <c r="C55" s="305" t="s">
        <v>1350</v>
      </c>
      <c r="D55" s="2723"/>
      <c r="E55" s="2461"/>
      <c r="F55" s="2616"/>
      <c r="G55" s="2692"/>
      <c r="H55" s="1423"/>
      <c r="I55" s="587" t="s">
        <v>1351</v>
      </c>
      <c r="J55" s="507"/>
      <c r="K55" s="1423"/>
      <c r="L55" s="151"/>
      <c r="M55" s="2430"/>
      <c r="N55" s="271"/>
      <c r="O55" s="1547"/>
      <c r="P55" s="1547"/>
      <c r="AH55" s="1554">
        <v>0</v>
      </c>
    </row>
    <row r="56" spans="1:34" s="1558" customFormat="1" ht="0.75" hidden="1" customHeight="1">
      <c r="A56" s="1700"/>
      <c r="B56" s="1700"/>
      <c r="C56" s="305" t="s">
        <v>1356</v>
      </c>
      <c r="D56" s="2723"/>
      <c r="E56" s="2461"/>
      <c r="F56" s="2616"/>
      <c r="G56" s="336"/>
      <c r="H56" s="1423"/>
      <c r="I56" s="587"/>
      <c r="J56" s="507"/>
      <c r="K56" s="1423"/>
      <c r="L56" s="151"/>
      <c r="M56" s="2430"/>
      <c r="N56" s="271"/>
      <c r="O56" s="1547"/>
      <c r="P56" s="1547"/>
      <c r="AH56" s="1554">
        <v>0</v>
      </c>
    </row>
    <row r="57" spans="1:34" s="1558" customFormat="1" ht="18.75" hidden="1" customHeight="1">
      <c r="A57" s="1700" t="s">
        <v>254</v>
      </c>
      <c r="B57" s="1700" t="s">
        <v>255</v>
      </c>
      <c r="C57" s="305"/>
      <c r="D57" s="2723"/>
      <c r="E57" s="2461"/>
      <c r="F57" s="2616" t="str">
        <f>INDEX(PT_DIFFERENTIATION_VTAR,MATCH(A57,PT_DIFFERENTIATION_VTAR_ID,0))</f>
        <v>Тариф на транспортировку воды</v>
      </c>
      <c r="G57" s="2692" t="str">
        <f>INDEX(PT_DIFFERENTIATION_NTAR,MATCH(B57,PT_DIFFERENTIATION_NTAR_ID,0))</f>
        <v/>
      </c>
      <c r="H57" s="1779"/>
      <c r="I57" s="1660"/>
      <c r="J57" s="1694"/>
      <c r="K57" s="1782"/>
      <c r="L57" s="1779" t="s">
        <v>325</v>
      </c>
      <c r="M57" s="2430"/>
      <c r="N57" s="271"/>
      <c r="O57" s="1547"/>
      <c r="P57" s="1547"/>
      <c r="AH57" s="1554">
        <v>0</v>
      </c>
    </row>
    <row r="58" spans="1:34" s="1558" customFormat="1" ht="18.75" hidden="1" customHeight="1">
      <c r="A58" s="1700"/>
      <c r="B58" s="1700"/>
      <c r="C58" s="305" t="s">
        <v>1350</v>
      </c>
      <c r="D58" s="2723"/>
      <c r="E58" s="2461"/>
      <c r="F58" s="2616"/>
      <c r="G58" s="2692"/>
      <c r="H58" s="1423"/>
      <c r="I58" s="587" t="s">
        <v>1351</v>
      </c>
      <c r="J58" s="507"/>
      <c r="K58" s="1423"/>
      <c r="L58" s="151"/>
      <c r="M58" s="2430"/>
      <c r="N58" s="271"/>
      <c r="O58" s="1547"/>
      <c r="P58" s="1547"/>
      <c r="AH58" s="1554">
        <v>0</v>
      </c>
    </row>
    <row r="59" spans="1:34" s="1558" customFormat="1" ht="0.75" hidden="1" customHeight="1">
      <c r="A59" s="1700"/>
      <c r="B59" s="1700"/>
      <c r="C59" s="305" t="s">
        <v>1356</v>
      </c>
      <c r="D59" s="2723"/>
      <c r="E59" s="2461"/>
      <c r="F59" s="2616"/>
      <c r="G59" s="336"/>
      <c r="H59" s="1423"/>
      <c r="I59" s="587"/>
      <c r="J59" s="507"/>
      <c r="K59" s="1423"/>
      <c r="L59" s="151"/>
      <c r="M59" s="2430"/>
      <c r="N59" s="271"/>
      <c r="O59" s="1547"/>
      <c r="P59" s="1547"/>
      <c r="AH59" s="1554">
        <v>0</v>
      </c>
    </row>
    <row r="60" spans="1:34" s="1558" customFormat="1" ht="18.75" hidden="1" customHeight="1">
      <c r="A60" s="1700" t="s">
        <v>259</v>
      </c>
      <c r="B60" s="1700" t="s">
        <v>260</v>
      </c>
      <c r="C60" s="305"/>
      <c r="D60" s="2723"/>
      <c r="E60" s="2461"/>
      <c r="F60" s="2616" t="str">
        <f>INDEX(PT_DIFFERENTIATION_VTAR,MATCH(A60,PT_DIFFERENTIATION_VTAR_ID,0))</f>
        <v>Тариф на подвоз воды</v>
      </c>
      <c r="G60" s="2692" t="str">
        <f>INDEX(PT_DIFFERENTIATION_NTAR,MATCH(B60,PT_DIFFERENTIATION_NTAR_ID,0))</f>
        <v/>
      </c>
      <c r="H60" s="1779"/>
      <c r="I60" s="1660"/>
      <c r="J60" s="1694"/>
      <c r="K60" s="1782"/>
      <c r="L60" s="1779" t="s">
        <v>325</v>
      </c>
      <c r="M60" s="2430"/>
      <c r="N60" s="271"/>
      <c r="O60" s="1547"/>
      <c r="P60" s="1547"/>
      <c r="AH60" s="1554">
        <v>0</v>
      </c>
    </row>
    <row r="61" spans="1:34" s="1558" customFormat="1" ht="18.75" hidden="1" customHeight="1">
      <c r="A61" s="1700"/>
      <c r="B61" s="1700"/>
      <c r="C61" s="305" t="s">
        <v>1350</v>
      </c>
      <c r="D61" s="2723"/>
      <c r="E61" s="2461"/>
      <c r="F61" s="2616"/>
      <c r="G61" s="2692"/>
      <c r="H61" s="1423"/>
      <c r="I61" s="587" t="s">
        <v>1351</v>
      </c>
      <c r="J61" s="507"/>
      <c r="K61" s="1423"/>
      <c r="L61" s="151"/>
      <c r="M61" s="2430"/>
      <c r="N61" s="271"/>
      <c r="O61" s="1547"/>
      <c r="P61" s="1547"/>
      <c r="AH61" s="1554">
        <v>0</v>
      </c>
    </row>
    <row r="62" spans="1:34" s="1558" customFormat="1" ht="0.75" hidden="1" customHeight="1">
      <c r="A62" s="1700"/>
      <c r="B62" s="1700"/>
      <c r="C62" s="305" t="s">
        <v>1356</v>
      </c>
      <c r="D62" s="2723"/>
      <c r="E62" s="2461"/>
      <c r="F62" s="2616"/>
      <c r="G62" s="336"/>
      <c r="H62" s="1423"/>
      <c r="I62" s="587"/>
      <c r="J62" s="507"/>
      <c r="K62" s="1423"/>
      <c r="L62" s="151"/>
      <c r="M62" s="2430"/>
      <c r="N62" s="271"/>
      <c r="O62" s="1547"/>
      <c r="P62" s="1547"/>
      <c r="AH62" s="1554">
        <v>0</v>
      </c>
    </row>
    <row r="63" spans="1:34" s="1558" customFormat="1" ht="18.75" hidden="1" customHeight="1">
      <c r="A63" s="1700" t="s">
        <v>264</v>
      </c>
      <c r="B63" s="1700" t="s">
        <v>265</v>
      </c>
      <c r="C63" s="305"/>
      <c r="D63" s="2723"/>
      <c r="E63" s="2461"/>
      <c r="F63" s="261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692" t="str">
        <f>INDEX(PT_DIFFERENTIATION_NTAR,MATCH(B63,PT_DIFFERENTIATION_NTAR_ID,0))</f>
        <v/>
      </c>
      <c r="H63" s="1779"/>
      <c r="I63" s="2044"/>
      <c r="J63" s="2045"/>
      <c r="K63" s="491"/>
      <c r="L63" s="1779" t="s">
        <v>325</v>
      </c>
      <c r="M63" s="2430"/>
      <c r="N63" s="271"/>
      <c r="O63" s="1547"/>
      <c r="P63" s="1547"/>
      <c r="AH63" s="1554">
        <v>0</v>
      </c>
    </row>
    <row r="64" spans="1:34" s="1558" customFormat="1" ht="18.75" hidden="1" customHeight="1">
      <c r="A64" s="1700"/>
      <c r="B64" s="1700"/>
      <c r="C64" s="305" t="s">
        <v>1350</v>
      </c>
      <c r="D64" s="2723"/>
      <c r="E64" s="2461"/>
      <c r="F64" s="2616"/>
      <c r="G64" s="2692"/>
      <c r="H64" s="1423"/>
      <c r="I64" s="587" t="s">
        <v>1351</v>
      </c>
      <c r="J64" s="507"/>
      <c r="K64" s="1423"/>
      <c r="L64" s="151"/>
      <c r="M64" s="2430"/>
      <c r="N64" s="271"/>
      <c r="O64" s="1547"/>
      <c r="P64" s="1547"/>
      <c r="AH64" s="1554">
        <v>0</v>
      </c>
    </row>
    <row r="65" spans="1:34" s="1558" customFormat="1" ht="0.75" hidden="1" customHeight="1">
      <c r="A65" s="1700"/>
      <c r="B65" s="1700"/>
      <c r="C65" s="305" t="s">
        <v>1356</v>
      </c>
      <c r="D65" s="2723"/>
      <c r="E65" s="2461"/>
      <c r="F65" s="2616"/>
      <c r="G65" s="336"/>
      <c r="H65" s="1423"/>
      <c r="I65" s="587"/>
      <c r="J65" s="507"/>
      <c r="K65" s="1423"/>
      <c r="L65" s="151"/>
      <c r="M65" s="2430"/>
      <c r="N65" s="271"/>
      <c r="O65" s="1547"/>
      <c r="P65" s="1547"/>
      <c r="AH65" s="1554">
        <v>0</v>
      </c>
    </row>
    <row r="66" spans="1:34" s="1558" customFormat="1" ht="18.75" hidden="1" customHeight="1">
      <c r="A66" s="1700" t="s">
        <v>269</v>
      </c>
      <c r="B66" s="1700" t="s">
        <v>270</v>
      </c>
      <c r="C66" s="305"/>
      <c r="D66" s="2723"/>
      <c r="E66" s="2461"/>
      <c r="F66" s="2616" t="str">
        <f>INDEX(PT_DIFFERENTIATION_VTAR,MATCH(A66,PT_DIFFERENTIATION_VTAR_ID,0))</f>
        <v>Тариф на горячую воду (горячее водоснабжение)</v>
      </c>
      <c r="G66" s="2692" t="str">
        <f>INDEX(PT_DIFFERENTIATION_NTAR,MATCH(B66,PT_DIFFERENTIATION_NTAR_ID,0))</f>
        <v/>
      </c>
      <c r="H66" s="1779"/>
      <c r="I66" s="1660"/>
      <c r="J66" s="1694"/>
      <c r="K66" s="1782"/>
      <c r="L66" s="1779" t="s">
        <v>325</v>
      </c>
      <c r="M66" s="2430"/>
      <c r="N66" s="271"/>
      <c r="O66" s="1547"/>
      <c r="P66" s="1547"/>
      <c r="AH66" s="1554">
        <v>0</v>
      </c>
    </row>
    <row r="67" spans="1:34" s="1558" customFormat="1" ht="18.75" hidden="1" customHeight="1">
      <c r="A67" s="1700"/>
      <c r="B67" s="1700"/>
      <c r="C67" s="305" t="s">
        <v>1350</v>
      </c>
      <c r="D67" s="2723"/>
      <c r="E67" s="2461"/>
      <c r="F67" s="2616"/>
      <c r="G67" s="2692"/>
      <c r="H67" s="1423"/>
      <c r="I67" s="587" t="s">
        <v>1351</v>
      </c>
      <c r="J67" s="507"/>
      <c r="K67" s="1423"/>
      <c r="L67" s="151"/>
      <c r="M67" s="2430"/>
      <c r="N67" s="271"/>
      <c r="O67" s="1547"/>
      <c r="P67" s="1547"/>
      <c r="AH67" s="1554">
        <v>0</v>
      </c>
    </row>
    <row r="68" spans="1:34" s="1558" customFormat="1" ht="0.75" hidden="1" customHeight="1">
      <c r="A68" s="1700"/>
      <c r="B68" s="1700"/>
      <c r="C68" s="305" t="s">
        <v>1356</v>
      </c>
      <c r="D68" s="2723"/>
      <c r="E68" s="2461"/>
      <c r="F68" s="2616"/>
      <c r="G68" s="336"/>
      <c r="H68" s="1423"/>
      <c r="I68" s="587"/>
      <c r="J68" s="507"/>
      <c r="K68" s="1423"/>
      <c r="L68" s="151"/>
      <c r="M68" s="2430"/>
      <c r="N68" s="271"/>
      <c r="O68" s="1547"/>
      <c r="P68" s="1547"/>
      <c r="AH68" s="1554">
        <v>0</v>
      </c>
    </row>
    <row r="69" spans="1:34" s="1558" customFormat="1" ht="18.75" hidden="1" customHeight="1">
      <c r="A69" s="1700" t="s">
        <v>274</v>
      </c>
      <c r="B69" s="1700" t="s">
        <v>275</v>
      </c>
      <c r="C69" s="305"/>
      <c r="D69" s="2723"/>
      <c r="E69" s="2461"/>
      <c r="F69" s="2616" t="str">
        <f>INDEX(PT_DIFFERENTIATION_VTAR,MATCH(A69,PT_DIFFERENTIATION_VTAR_ID,0))</f>
        <v>Тариф на транспортировку горячей воды</v>
      </c>
      <c r="G69" s="2692" t="str">
        <f>INDEX(PT_DIFFERENTIATION_NTAR,MATCH(B69,PT_DIFFERENTIATION_NTAR_ID,0))</f>
        <v/>
      </c>
      <c r="H69" s="1779"/>
      <c r="I69" s="1660"/>
      <c r="J69" s="1694"/>
      <c r="K69" s="1782"/>
      <c r="L69" s="1779" t="s">
        <v>325</v>
      </c>
      <c r="M69" s="2430"/>
      <c r="N69" s="271"/>
      <c r="O69" s="1547"/>
      <c r="P69" s="1547"/>
      <c r="AH69" s="1554">
        <v>0</v>
      </c>
    </row>
    <row r="70" spans="1:34" s="1558" customFormat="1" ht="18.75" hidden="1" customHeight="1">
      <c r="A70" s="1700"/>
      <c r="B70" s="1700"/>
      <c r="C70" s="305" t="s">
        <v>1350</v>
      </c>
      <c r="D70" s="2723"/>
      <c r="E70" s="2461"/>
      <c r="F70" s="2616"/>
      <c r="G70" s="2692"/>
      <c r="H70" s="1423"/>
      <c r="I70" s="587" t="s">
        <v>1351</v>
      </c>
      <c r="J70" s="507"/>
      <c r="K70" s="1423"/>
      <c r="L70" s="151"/>
      <c r="M70" s="2430"/>
      <c r="N70" s="271"/>
      <c r="O70" s="1547"/>
      <c r="P70" s="1547"/>
      <c r="AH70" s="1554">
        <v>0</v>
      </c>
    </row>
    <row r="71" spans="1:34" s="1558" customFormat="1" ht="0.75" hidden="1" customHeight="1">
      <c r="A71" s="1700"/>
      <c r="B71" s="1700"/>
      <c r="C71" s="305" t="s">
        <v>1356</v>
      </c>
      <c r="D71" s="2723"/>
      <c r="E71" s="2461"/>
      <c r="F71" s="2616"/>
      <c r="G71" s="336"/>
      <c r="H71" s="1423"/>
      <c r="I71" s="587"/>
      <c r="J71" s="507"/>
      <c r="K71" s="1423"/>
      <c r="L71" s="151"/>
      <c r="M71" s="2430"/>
      <c r="N71" s="271"/>
      <c r="O71" s="1547"/>
      <c r="P71" s="1547"/>
      <c r="AH71" s="1554">
        <v>0</v>
      </c>
    </row>
    <row r="72" spans="1:34" s="1558" customFormat="1" ht="18.75" hidden="1" customHeight="1">
      <c r="A72" s="1700" t="s">
        <v>279</v>
      </c>
      <c r="B72" s="1700" t="s">
        <v>280</v>
      </c>
      <c r="C72" s="305"/>
      <c r="D72" s="2723"/>
      <c r="E72" s="2461"/>
      <c r="F72" s="2616" t="str">
        <f>INDEX(PT_DIFFERENTIATION_VTAR,MATCH(A72,PT_DIFFERENTIATION_VTAR_ID,0))</f>
        <v>Тариф на подключение (технологическое присоединение) к централизованной системе горячего водоснабжения</v>
      </c>
      <c r="G72" s="2692" t="str">
        <f>INDEX(PT_DIFFERENTIATION_NTAR,MATCH(B72,PT_DIFFERENTIATION_NTAR_ID,0))</f>
        <v/>
      </c>
      <c r="H72" s="1779"/>
      <c r="I72" s="2044"/>
      <c r="J72" s="2045"/>
      <c r="K72" s="491"/>
      <c r="L72" s="1779" t="s">
        <v>325</v>
      </c>
      <c r="M72" s="2430"/>
      <c r="N72" s="271"/>
      <c r="O72" s="1547"/>
      <c r="P72" s="1547"/>
      <c r="AH72" s="1554">
        <v>0</v>
      </c>
    </row>
    <row r="73" spans="1:34" s="1558" customFormat="1" ht="18.75" hidden="1" customHeight="1">
      <c r="A73" s="1700"/>
      <c r="B73" s="1700"/>
      <c r="C73" s="305" t="s">
        <v>1350</v>
      </c>
      <c r="D73" s="2723"/>
      <c r="E73" s="2461"/>
      <c r="F73" s="2616"/>
      <c r="G73" s="2692"/>
      <c r="H73" s="1423"/>
      <c r="I73" s="587" t="s">
        <v>1351</v>
      </c>
      <c r="J73" s="507"/>
      <c r="K73" s="1423"/>
      <c r="L73" s="151"/>
      <c r="M73" s="2430"/>
      <c r="N73" s="271"/>
      <c r="O73" s="1547"/>
      <c r="P73" s="1547"/>
      <c r="AH73" s="1554">
        <v>0</v>
      </c>
    </row>
    <row r="74" spans="1:34" s="1558" customFormat="1" ht="0.75" hidden="1" customHeight="1">
      <c r="A74" s="1700"/>
      <c r="B74" s="1700"/>
      <c r="C74" s="305" t="s">
        <v>1356</v>
      </c>
      <c r="D74" s="2723"/>
      <c r="E74" s="2461"/>
      <c r="F74" s="2616"/>
      <c r="G74" s="336"/>
      <c r="H74" s="1423"/>
      <c r="I74" s="587"/>
      <c r="J74" s="507"/>
      <c r="K74" s="1423"/>
      <c r="L74" s="151"/>
      <c r="M74" s="2430"/>
      <c r="N74" s="271"/>
      <c r="O74" s="1547"/>
      <c r="P74" s="1547"/>
      <c r="AH74" s="1554">
        <v>0</v>
      </c>
    </row>
    <row r="75" spans="1:34" s="1558" customFormat="1" ht="18.75" hidden="1" customHeight="1">
      <c r="A75" s="1700" t="s">
        <v>284</v>
      </c>
      <c r="B75" s="1700" t="s">
        <v>285</v>
      </c>
      <c r="C75" s="305"/>
      <c r="D75" s="2723"/>
      <c r="E75" s="2461"/>
      <c r="F75" s="2616" t="str">
        <f>INDEX(PT_DIFFERENTIATION_VTAR,MATCH(A75,PT_DIFFERENTIATION_VTAR_ID,0))</f>
        <v>Тариф на водоотведение</v>
      </c>
      <c r="G75" s="2692" t="str">
        <f>INDEX(PT_DIFFERENTIATION_NTAR,MATCH(B75,PT_DIFFERENTIATION_NTAR_ID,0))</f>
        <v/>
      </c>
      <c r="H75" s="1779"/>
      <c r="I75" s="1660"/>
      <c r="J75" s="1694"/>
      <c r="K75" s="1782"/>
      <c r="L75" s="1779" t="s">
        <v>325</v>
      </c>
      <c r="M75" s="2430"/>
      <c r="N75" s="271"/>
      <c r="O75" s="1547"/>
      <c r="P75" s="1547"/>
      <c r="AH75" s="1554">
        <v>0</v>
      </c>
    </row>
    <row r="76" spans="1:34" s="1558" customFormat="1" ht="18.75" hidden="1" customHeight="1">
      <c r="A76" s="1700"/>
      <c r="B76" s="1700"/>
      <c r="C76" s="305" t="s">
        <v>1350</v>
      </c>
      <c r="D76" s="2723"/>
      <c r="E76" s="2461"/>
      <c r="F76" s="2616"/>
      <c r="G76" s="2692"/>
      <c r="H76" s="1423"/>
      <c r="I76" s="587" t="s">
        <v>1351</v>
      </c>
      <c r="J76" s="507"/>
      <c r="K76" s="1423"/>
      <c r="L76" s="151"/>
      <c r="M76" s="2430"/>
      <c r="N76" s="271"/>
      <c r="O76" s="1547"/>
      <c r="P76" s="1547"/>
      <c r="AH76" s="1554">
        <v>0</v>
      </c>
    </row>
    <row r="77" spans="1:34" s="1558" customFormat="1" ht="0.75" hidden="1" customHeight="1">
      <c r="A77" s="1700"/>
      <c r="B77" s="1700"/>
      <c r="C77" s="305" t="s">
        <v>1356</v>
      </c>
      <c r="D77" s="2723"/>
      <c r="E77" s="2461"/>
      <c r="F77" s="2616"/>
      <c r="G77" s="336"/>
      <c r="H77" s="1423"/>
      <c r="I77" s="587"/>
      <c r="J77" s="507"/>
      <c r="K77" s="1423"/>
      <c r="L77" s="151"/>
      <c r="M77" s="2430"/>
      <c r="N77" s="271"/>
      <c r="O77" s="1547"/>
      <c r="P77" s="1547"/>
      <c r="AH77" s="1554">
        <v>0</v>
      </c>
    </row>
    <row r="78" spans="1:34" s="1558" customFormat="1" ht="18.75" hidden="1" customHeight="1">
      <c r="A78" s="1700" t="s">
        <v>289</v>
      </c>
      <c r="B78" s="1700" t="s">
        <v>290</v>
      </c>
      <c r="C78" s="305"/>
      <c r="D78" s="2723"/>
      <c r="E78" s="2461"/>
      <c r="F78" s="2616" t="str">
        <f>INDEX(PT_DIFFERENTIATION_VTAR,MATCH(A78,PT_DIFFERENTIATION_VTAR_ID,0))</f>
        <v>Тариф на транспортировку сточных вод</v>
      </c>
      <c r="G78" s="2692" t="str">
        <f>INDEX(PT_DIFFERENTIATION_NTAR,MATCH(B78,PT_DIFFERENTIATION_NTAR_ID,0))</f>
        <v/>
      </c>
      <c r="H78" s="1779"/>
      <c r="I78" s="1660"/>
      <c r="J78" s="1694"/>
      <c r="K78" s="1782"/>
      <c r="L78" s="1779" t="s">
        <v>325</v>
      </c>
      <c r="M78" s="2430"/>
      <c r="N78" s="271"/>
      <c r="O78" s="1547"/>
      <c r="P78" s="1547"/>
      <c r="AH78" s="1554">
        <v>0</v>
      </c>
    </row>
    <row r="79" spans="1:34" s="1558" customFormat="1" ht="18.75" hidden="1" customHeight="1">
      <c r="A79" s="1700"/>
      <c r="B79" s="1700"/>
      <c r="C79" s="305" t="s">
        <v>1350</v>
      </c>
      <c r="D79" s="2723"/>
      <c r="E79" s="2461"/>
      <c r="F79" s="2616"/>
      <c r="G79" s="2692"/>
      <c r="H79" s="1423"/>
      <c r="I79" s="587" t="s">
        <v>1351</v>
      </c>
      <c r="J79" s="507"/>
      <c r="K79" s="1423"/>
      <c r="L79" s="151"/>
      <c r="M79" s="2430"/>
      <c r="N79" s="271"/>
      <c r="O79" s="1547"/>
      <c r="P79" s="1547"/>
      <c r="AH79" s="1554">
        <v>0</v>
      </c>
    </row>
    <row r="80" spans="1:34" s="1558" customFormat="1" ht="0.75" hidden="1" customHeight="1">
      <c r="A80" s="1700"/>
      <c r="B80" s="1700"/>
      <c r="C80" s="305" t="s">
        <v>1356</v>
      </c>
      <c r="D80" s="2723"/>
      <c r="E80" s="2461"/>
      <c r="F80" s="2616"/>
      <c r="G80" s="336"/>
      <c r="H80" s="1423"/>
      <c r="I80" s="587"/>
      <c r="J80" s="507"/>
      <c r="K80" s="1423"/>
      <c r="L80" s="151"/>
      <c r="M80" s="2430"/>
      <c r="N80" s="271"/>
      <c r="O80" s="1547"/>
      <c r="P80" s="1547"/>
      <c r="AH80" s="1554">
        <v>0</v>
      </c>
    </row>
    <row r="81" spans="1:34" s="1558" customFormat="1" ht="18.75" hidden="1" customHeight="1">
      <c r="A81" s="1700" t="s">
        <v>294</v>
      </c>
      <c r="B81" s="1700" t="s">
        <v>295</v>
      </c>
      <c r="C81" s="305"/>
      <c r="D81" s="2723"/>
      <c r="E81" s="2461"/>
      <c r="F81" s="2616" t="str">
        <f>INDEX(PT_DIFFERENTIATION_VTAR,MATCH(A81,PT_DIFFERENTIATION_VTAR_ID,0))</f>
        <v>Тариф на подключение (технологическое присоединение) к централизованной системе водоотведения</v>
      </c>
      <c r="G81" s="2692" t="str">
        <f>INDEX(PT_DIFFERENTIATION_NTAR,MATCH(B81,PT_DIFFERENTIATION_NTAR_ID,0))</f>
        <v/>
      </c>
      <c r="H81" s="1779"/>
      <c r="I81" s="2044"/>
      <c r="J81" s="2045"/>
      <c r="K81" s="491"/>
      <c r="L81" s="1779" t="s">
        <v>325</v>
      </c>
      <c r="M81" s="2430"/>
      <c r="N81" s="271"/>
      <c r="O81" s="1547"/>
      <c r="P81" s="1547"/>
      <c r="AH81" s="1554">
        <v>0</v>
      </c>
    </row>
    <row r="82" spans="1:34" s="1558" customFormat="1" ht="18.75" hidden="1" customHeight="1">
      <c r="A82" s="1700"/>
      <c r="B82" s="1700"/>
      <c r="C82" s="305" t="s">
        <v>1350</v>
      </c>
      <c r="D82" s="2723"/>
      <c r="E82" s="2461"/>
      <c r="F82" s="2616"/>
      <c r="G82" s="2692"/>
      <c r="H82" s="1423"/>
      <c r="I82" s="587" t="s">
        <v>1351</v>
      </c>
      <c r="J82" s="507"/>
      <c r="K82" s="1423"/>
      <c r="L82" s="151"/>
      <c r="M82" s="2430"/>
      <c r="N82" s="271"/>
      <c r="O82" s="1547"/>
      <c r="P82" s="1547"/>
      <c r="AH82" s="1554">
        <v>0</v>
      </c>
    </row>
    <row r="83" spans="1:34" s="1558" customFormat="1" ht="1.1499999999999999" customHeight="1">
      <c r="A83" s="1700"/>
      <c r="B83" s="1700"/>
      <c r="C83" s="305" t="s">
        <v>1356</v>
      </c>
      <c r="D83" s="2723"/>
      <c r="E83" s="2461"/>
      <c r="F83" s="2616"/>
      <c r="G83" s="336"/>
      <c r="H83" s="1423"/>
      <c r="I83" s="587"/>
      <c r="J83" s="507"/>
      <c r="K83" s="1423"/>
      <c r="L83" s="151"/>
      <c r="M83" s="2430"/>
      <c r="N83" s="271"/>
      <c r="O83" s="1547"/>
      <c r="P83" s="1547"/>
      <c r="AH83" s="1554">
        <v>1</v>
      </c>
    </row>
    <row r="84" spans="1:34" ht="19.899999999999999" customHeight="1">
      <c r="A84" s="1700"/>
      <c r="B84" s="1700"/>
      <c r="D84" s="312"/>
      <c r="E84" s="84" t="s">
        <v>103</v>
      </c>
      <c r="F84" s="272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722"/>
      <c r="H84" s="2722"/>
      <c r="I84" s="2722"/>
      <c r="J84" s="2722"/>
      <c r="K84" s="2722"/>
      <c r="L84" s="2722"/>
      <c r="M84" s="234"/>
      <c r="N84" s="271"/>
      <c r="AH84" s="310">
        <v>19</v>
      </c>
    </row>
    <row r="85" spans="1:34" ht="35.65" customHeight="1">
      <c r="A85" s="1700"/>
      <c r="B85" s="1700"/>
      <c r="D85" s="312"/>
      <c r="E85" s="335"/>
      <c r="F85" s="135" t="s">
        <v>325</v>
      </c>
      <c r="G85" s="135" t="s">
        <v>325</v>
      </c>
      <c r="H85" s="2474" t="s">
        <v>325</v>
      </c>
      <c r="I85" s="2476"/>
      <c r="J85" s="135" t="s">
        <v>325</v>
      </c>
      <c r="K85" s="135" t="s">
        <v>325</v>
      </c>
      <c r="L85" s="337"/>
      <c r="M85" s="282" t="s">
        <v>1357</v>
      </c>
      <c r="N85" s="271"/>
      <c r="AH85" s="310">
        <v>34</v>
      </c>
    </row>
    <row r="86" spans="1:34" ht="19.899999999999999" customHeight="1">
      <c r="A86" s="1700"/>
      <c r="B86" s="1700"/>
      <c r="D86" s="312"/>
      <c r="E86" s="84" t="s">
        <v>91</v>
      </c>
      <c r="F86" s="2722" t="s">
        <v>1358</v>
      </c>
      <c r="G86" s="2722"/>
      <c r="H86" s="2722"/>
      <c r="I86" s="2722"/>
      <c r="J86" s="2722"/>
      <c r="K86" s="2722"/>
      <c r="L86" s="2722"/>
      <c r="M86" s="234"/>
      <c r="N86" s="271"/>
      <c r="AH86" s="310">
        <v>19</v>
      </c>
    </row>
    <row r="87" spans="1:34" s="1558" customFormat="1" ht="60.75" hidden="1" customHeight="1">
      <c r="A87" s="1700" t="s">
        <v>176</v>
      </c>
      <c r="B87" s="1700" t="s">
        <v>177</v>
      </c>
      <c r="C87" s="305"/>
      <c r="D87" s="2723"/>
      <c r="E87" s="2461"/>
      <c r="F87" s="261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692" t="str">
        <f>INDEX(PT_DIFFERENTIATION_NTAR,MATCH(B87,PT_DIFFERENTIATION_NTAR_ID,0))</f>
        <v/>
      </c>
      <c r="H87" s="1779"/>
      <c r="I87" s="1660"/>
      <c r="J87" s="1694"/>
      <c r="K87" s="1698"/>
      <c r="L87" s="1779" t="s">
        <v>325</v>
      </c>
      <c r="M87" s="242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47"/>
      <c r="P87" s="1547"/>
      <c r="AH87" s="1554">
        <v>0</v>
      </c>
    </row>
    <row r="88" spans="1:34" s="1558" customFormat="1" ht="18.75" hidden="1" customHeight="1">
      <c r="A88" s="1700"/>
      <c r="B88" s="1700"/>
      <c r="C88" s="305" t="s">
        <v>1352</v>
      </c>
      <c r="D88" s="2723"/>
      <c r="E88" s="2461"/>
      <c r="F88" s="2616"/>
      <c r="G88" s="2692"/>
      <c r="H88" s="1423"/>
      <c r="I88" s="587" t="s">
        <v>1351</v>
      </c>
      <c r="J88" s="507"/>
      <c r="K88" s="1423"/>
      <c r="L88" s="151"/>
      <c r="M88" s="2430"/>
      <c r="N88" s="271"/>
      <c r="O88" s="1547"/>
      <c r="P88" s="1547"/>
      <c r="AH88" s="1554">
        <v>0</v>
      </c>
    </row>
    <row r="89" spans="1:34" s="1558" customFormat="1" ht="0.75" hidden="1" customHeight="1">
      <c r="A89" s="1700"/>
      <c r="B89" s="1700"/>
      <c r="C89" s="305" t="s">
        <v>1359</v>
      </c>
      <c r="D89" s="2723"/>
      <c r="E89" s="2461"/>
      <c r="F89" s="2616"/>
      <c r="G89" s="336"/>
      <c r="H89" s="1423"/>
      <c r="I89" s="587"/>
      <c r="J89" s="507"/>
      <c r="K89" s="1423"/>
      <c r="L89" s="151"/>
      <c r="M89" s="2430"/>
      <c r="N89" s="271"/>
      <c r="O89" s="1547"/>
      <c r="P89" s="1547"/>
      <c r="AH89" s="1554">
        <v>0</v>
      </c>
    </row>
    <row r="90" spans="1:34" s="1558" customFormat="1" ht="45" hidden="1" customHeight="1">
      <c r="A90" s="1700" t="s">
        <v>181</v>
      </c>
      <c r="B90" s="1700" t="s">
        <v>182</v>
      </c>
      <c r="C90" s="305"/>
      <c r="D90" s="2723"/>
      <c r="E90" s="2461"/>
      <c r="F90" s="2616" t="str">
        <f>INDEX(PT_DIFFERENTIATION_VTAR,MATCH(A90,PT_DIFFERENTIATION_VTAR_ID,0))</f>
        <v/>
      </c>
      <c r="G90" s="2692" t="str">
        <f>INDEX(PT_DIFFERENTIATION_NTAR,MATCH(B90,PT_DIFFERENTIATION_NTAR_ID,0))</f>
        <v/>
      </c>
      <c r="H90" s="1779"/>
      <c r="I90" s="1660"/>
      <c r="J90" s="1694"/>
      <c r="K90" s="1698"/>
      <c r="L90" s="1779" t="s">
        <v>325</v>
      </c>
      <c r="M90" s="2431"/>
      <c r="N90" s="271"/>
      <c r="O90" s="1547"/>
      <c r="P90" s="1547"/>
      <c r="AH90" s="1554">
        <v>0</v>
      </c>
    </row>
    <row r="91" spans="1:34" s="1558" customFormat="1" ht="18.75" hidden="1" customHeight="1">
      <c r="A91" s="1700"/>
      <c r="B91" s="1700"/>
      <c r="C91" s="305" t="s">
        <v>1352</v>
      </c>
      <c r="D91" s="2723"/>
      <c r="E91" s="2461"/>
      <c r="F91" s="2616"/>
      <c r="G91" s="2692"/>
      <c r="H91" s="1423"/>
      <c r="I91" s="587" t="s">
        <v>1351</v>
      </c>
      <c r="J91" s="507"/>
      <c r="K91" s="1423"/>
      <c r="L91" s="151"/>
      <c r="M91" s="1778"/>
      <c r="N91" s="271"/>
      <c r="O91" s="1547"/>
      <c r="P91" s="1547"/>
      <c r="AH91" s="1554">
        <v>0</v>
      </c>
    </row>
    <row r="92" spans="1:34" s="1558" customFormat="1" ht="0.75" hidden="1" customHeight="1">
      <c r="A92" s="1700"/>
      <c r="B92" s="1700"/>
      <c r="C92" s="305" t="s">
        <v>1359</v>
      </c>
      <c r="D92" s="2723"/>
      <c r="E92" s="2461"/>
      <c r="F92" s="2616"/>
      <c r="G92" s="336"/>
      <c r="H92" s="1423"/>
      <c r="I92" s="587"/>
      <c r="J92" s="507"/>
      <c r="K92" s="1423"/>
      <c r="L92" s="151"/>
      <c r="M92" s="278"/>
      <c r="N92" s="271"/>
      <c r="O92" s="1547"/>
      <c r="P92" s="1547"/>
      <c r="AH92" s="1554">
        <v>0</v>
      </c>
    </row>
    <row r="93" spans="1:34" s="1558" customFormat="1" ht="45" hidden="1" customHeight="1">
      <c r="A93" s="1700" t="s">
        <v>188</v>
      </c>
      <c r="B93" s="1700" t="s">
        <v>189</v>
      </c>
      <c r="C93" s="305"/>
      <c r="D93" s="2723"/>
      <c r="E93" s="2461"/>
      <c r="F93" s="261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692" t="str">
        <f>INDEX(PT_DIFFERENTIATION_NTAR,MATCH(B93,PT_DIFFERENTIATION_NTAR_ID,0))</f>
        <v/>
      </c>
      <c r="H93" s="1779"/>
      <c r="I93" s="1660"/>
      <c r="J93" s="1694"/>
      <c r="K93" s="1698"/>
      <c r="L93" s="1779" t="s">
        <v>325</v>
      </c>
      <c r="M93" s="278"/>
      <c r="N93" s="271"/>
      <c r="O93" s="1547"/>
      <c r="P93" s="1547"/>
      <c r="AH93" s="1554">
        <v>0</v>
      </c>
    </row>
    <row r="94" spans="1:34" s="1558" customFormat="1" ht="18.75" hidden="1" customHeight="1">
      <c r="A94" s="1700"/>
      <c r="B94" s="1700"/>
      <c r="C94" s="305" t="s">
        <v>1352</v>
      </c>
      <c r="D94" s="2723"/>
      <c r="E94" s="2461"/>
      <c r="F94" s="2616"/>
      <c r="G94" s="2692"/>
      <c r="H94" s="1423"/>
      <c r="I94" s="587" t="s">
        <v>1351</v>
      </c>
      <c r="J94" s="507"/>
      <c r="K94" s="1423"/>
      <c r="L94" s="151"/>
      <c r="M94" s="278"/>
      <c r="N94" s="271"/>
      <c r="O94" s="1547"/>
      <c r="P94" s="1547"/>
      <c r="AH94" s="1554">
        <v>0</v>
      </c>
    </row>
    <row r="95" spans="1:34" s="1558" customFormat="1" ht="0.75" hidden="1" customHeight="1">
      <c r="A95" s="1700"/>
      <c r="B95" s="1700"/>
      <c r="C95" s="305" t="s">
        <v>1359</v>
      </c>
      <c r="D95" s="2723"/>
      <c r="E95" s="2461"/>
      <c r="F95" s="2616"/>
      <c r="G95" s="336"/>
      <c r="H95" s="1423"/>
      <c r="I95" s="587"/>
      <c r="J95" s="507"/>
      <c r="K95" s="1423"/>
      <c r="L95" s="151"/>
      <c r="M95" s="278"/>
      <c r="N95" s="271"/>
      <c r="O95" s="1547"/>
      <c r="P95" s="1547"/>
      <c r="AH95" s="1554">
        <v>0</v>
      </c>
    </row>
    <row r="96" spans="1:34" s="1558" customFormat="1" ht="45" hidden="1" customHeight="1">
      <c r="A96" s="1700" t="s">
        <v>194</v>
      </c>
      <c r="B96" s="1700" t="s">
        <v>195</v>
      </c>
      <c r="C96" s="305"/>
      <c r="D96" s="2723"/>
      <c r="E96" s="2461"/>
      <c r="F96" s="261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692" t="str">
        <f>INDEX(PT_DIFFERENTIATION_NTAR,MATCH(B96,PT_DIFFERENTIATION_NTAR_ID,0))</f>
        <v/>
      </c>
      <c r="H96" s="1779"/>
      <c r="I96" s="1660"/>
      <c r="J96" s="1694"/>
      <c r="K96" s="1698"/>
      <c r="L96" s="1779" t="s">
        <v>325</v>
      </c>
      <c r="M96" s="278"/>
      <c r="N96" s="271"/>
      <c r="O96" s="1547"/>
      <c r="P96" s="1547"/>
      <c r="AH96" s="1554">
        <v>0</v>
      </c>
    </row>
    <row r="97" spans="1:34" s="1558" customFormat="1" ht="18.75" hidden="1" customHeight="1">
      <c r="A97" s="1700"/>
      <c r="B97" s="1700"/>
      <c r="C97" s="305" t="s">
        <v>1352</v>
      </c>
      <c r="D97" s="2723"/>
      <c r="E97" s="2461"/>
      <c r="F97" s="2616"/>
      <c r="G97" s="2692"/>
      <c r="H97" s="1423"/>
      <c r="I97" s="587" t="s">
        <v>1351</v>
      </c>
      <c r="J97" s="507"/>
      <c r="K97" s="1423"/>
      <c r="L97" s="151"/>
      <c r="M97" s="278"/>
      <c r="N97" s="271"/>
      <c r="O97" s="1547"/>
      <c r="P97" s="1547"/>
      <c r="AH97" s="1554">
        <v>0</v>
      </c>
    </row>
    <row r="98" spans="1:34" s="1558" customFormat="1" ht="0.75" hidden="1" customHeight="1">
      <c r="A98" s="1700"/>
      <c r="B98" s="1700"/>
      <c r="C98" s="305" t="s">
        <v>1359</v>
      </c>
      <c r="D98" s="2723"/>
      <c r="E98" s="2461"/>
      <c r="F98" s="2616"/>
      <c r="G98" s="336"/>
      <c r="H98" s="1423"/>
      <c r="I98" s="587"/>
      <c r="J98" s="507"/>
      <c r="K98" s="1423"/>
      <c r="L98" s="151"/>
      <c r="M98" s="278"/>
      <c r="N98" s="271"/>
      <c r="O98" s="1547"/>
      <c r="P98" s="1547"/>
      <c r="AH98" s="1554">
        <v>0</v>
      </c>
    </row>
    <row r="99" spans="1:34" s="1558" customFormat="1" ht="18.75" hidden="1" customHeight="1">
      <c r="A99" s="1700" t="s">
        <v>200</v>
      </c>
      <c r="B99" s="1700" t="s">
        <v>201</v>
      </c>
      <c r="C99" s="305"/>
      <c r="D99" s="2723"/>
      <c r="E99" s="2461"/>
      <c r="F99" s="2616" t="str">
        <f>INDEX(PT_DIFFERENTIATION_VTAR,MATCH(A99,PT_DIFFERENTIATION_VTAR_ID,0))</f>
        <v>Тарифы на услуги по передаче тепловой энергии</v>
      </c>
      <c r="G99" s="2692" t="str">
        <f>INDEX(PT_DIFFERENTIATION_NTAR,MATCH(B99,PT_DIFFERENTIATION_NTAR_ID,0))</f>
        <v/>
      </c>
      <c r="H99" s="1779"/>
      <c r="I99" s="1660"/>
      <c r="J99" s="1694"/>
      <c r="K99" s="1698"/>
      <c r="L99" s="1779" t="s">
        <v>325</v>
      </c>
      <c r="M99" s="278"/>
      <c r="N99" s="271"/>
      <c r="O99" s="1547"/>
      <c r="P99" s="1547"/>
      <c r="AH99" s="1554">
        <v>0</v>
      </c>
    </row>
    <row r="100" spans="1:34" s="1558" customFormat="1" ht="18.75" hidden="1" customHeight="1">
      <c r="A100" s="1700"/>
      <c r="B100" s="1700"/>
      <c r="C100" s="305" t="s">
        <v>1352</v>
      </c>
      <c r="D100" s="2723"/>
      <c r="E100" s="2461"/>
      <c r="F100" s="2616"/>
      <c r="G100" s="2692"/>
      <c r="H100" s="1423"/>
      <c r="I100" s="587" t="s">
        <v>1351</v>
      </c>
      <c r="J100" s="507"/>
      <c r="K100" s="1423"/>
      <c r="L100" s="151"/>
      <c r="M100" s="278"/>
      <c r="N100" s="271"/>
      <c r="O100" s="1547"/>
      <c r="P100" s="1547"/>
      <c r="AH100" s="1554">
        <v>0</v>
      </c>
    </row>
    <row r="101" spans="1:34" s="1558" customFormat="1" ht="0.75" hidden="1" customHeight="1">
      <c r="A101" s="1700"/>
      <c r="B101" s="1700"/>
      <c r="C101" s="305" t="s">
        <v>1359</v>
      </c>
      <c r="D101" s="2723"/>
      <c r="E101" s="2461"/>
      <c r="F101" s="2616"/>
      <c r="G101" s="336"/>
      <c r="H101" s="1423"/>
      <c r="I101" s="587"/>
      <c r="J101" s="507"/>
      <c r="K101" s="1423"/>
      <c r="L101" s="151"/>
      <c r="M101" s="278"/>
      <c r="N101" s="271"/>
      <c r="O101" s="1547"/>
      <c r="P101" s="1547"/>
      <c r="AH101" s="1554">
        <v>0</v>
      </c>
    </row>
    <row r="102" spans="1:34" s="1558" customFormat="1" ht="18.75" hidden="1" customHeight="1">
      <c r="A102" s="1700" t="s">
        <v>206</v>
      </c>
      <c r="B102" s="1700" t="s">
        <v>207</v>
      </c>
      <c r="C102" s="305"/>
      <c r="D102" s="2723"/>
      <c r="E102" s="2461"/>
      <c r="F102" s="2616" t="str">
        <f>INDEX(PT_DIFFERENTIATION_VTAR,MATCH(A102,PT_DIFFERENTIATION_VTAR_ID,0))</f>
        <v>Тарифы на услуги по передаче теплоносителя</v>
      </c>
      <c r="G102" s="2692" t="str">
        <f>INDEX(PT_DIFFERENTIATION_NTAR,MATCH(B102,PT_DIFFERENTIATION_NTAR_ID,0))</f>
        <v/>
      </c>
      <c r="H102" s="1779"/>
      <c r="I102" s="1660"/>
      <c r="J102" s="1694"/>
      <c r="K102" s="1698"/>
      <c r="L102" s="1779" t="s">
        <v>325</v>
      </c>
      <c r="M102" s="278"/>
      <c r="N102" s="271"/>
      <c r="O102" s="1547"/>
      <c r="P102" s="1547"/>
      <c r="AH102" s="1554">
        <v>0</v>
      </c>
    </row>
    <row r="103" spans="1:34" s="1558" customFormat="1" ht="18.75" hidden="1" customHeight="1">
      <c r="A103" s="1700"/>
      <c r="B103" s="1700"/>
      <c r="C103" s="305" t="s">
        <v>1352</v>
      </c>
      <c r="D103" s="2723"/>
      <c r="E103" s="2461"/>
      <c r="F103" s="2616"/>
      <c r="G103" s="2692"/>
      <c r="H103" s="1423"/>
      <c r="I103" s="587" t="s">
        <v>1351</v>
      </c>
      <c r="J103" s="507"/>
      <c r="K103" s="1423"/>
      <c r="L103" s="151"/>
      <c r="M103" s="278"/>
      <c r="N103" s="271"/>
      <c r="O103" s="1547"/>
      <c r="P103" s="1547"/>
      <c r="AH103" s="1554">
        <v>0</v>
      </c>
    </row>
    <row r="104" spans="1:34" s="1558" customFormat="1" ht="0.75" hidden="1" customHeight="1">
      <c r="A104" s="1700"/>
      <c r="B104" s="1700"/>
      <c r="C104" s="305" t="s">
        <v>1359</v>
      </c>
      <c r="D104" s="2723"/>
      <c r="E104" s="2461"/>
      <c r="F104" s="2616"/>
      <c r="G104" s="336"/>
      <c r="H104" s="1423"/>
      <c r="I104" s="587"/>
      <c r="J104" s="507"/>
      <c r="K104" s="1423"/>
      <c r="L104" s="151"/>
      <c r="M104" s="278"/>
      <c r="N104" s="271"/>
      <c r="O104" s="1547"/>
      <c r="P104" s="1547"/>
      <c r="AH104" s="1554">
        <v>0</v>
      </c>
    </row>
    <row r="105" spans="1:34" s="1558" customFormat="1" ht="18.75" hidden="1" customHeight="1">
      <c r="A105" s="1700" t="s">
        <v>212</v>
      </c>
      <c r="B105" s="1700" t="s">
        <v>213</v>
      </c>
      <c r="C105" s="305"/>
      <c r="D105" s="2723"/>
      <c r="E105" s="2461"/>
      <c r="F105" s="261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692" t="str">
        <f>INDEX(PT_DIFFERENTIATION_NTAR,MATCH(B105,PT_DIFFERENTIATION_NTAR_ID,0))</f>
        <v/>
      </c>
      <c r="H105" s="1779"/>
      <c r="I105" s="1660"/>
      <c r="J105" s="1694"/>
      <c r="K105" s="1698"/>
      <c r="L105" s="1779" t="s">
        <v>325</v>
      </c>
      <c r="M105" s="278"/>
      <c r="N105" s="271"/>
      <c r="O105" s="1547"/>
      <c r="P105" s="1547"/>
      <c r="AH105" s="1554">
        <v>0</v>
      </c>
    </row>
    <row r="106" spans="1:34" s="1558" customFormat="1" ht="18.75" hidden="1" customHeight="1">
      <c r="A106" s="1700"/>
      <c r="B106" s="1700"/>
      <c r="C106" s="305" t="s">
        <v>1352</v>
      </c>
      <c r="D106" s="2723"/>
      <c r="E106" s="2461"/>
      <c r="F106" s="2616"/>
      <c r="G106" s="2692"/>
      <c r="H106" s="1423"/>
      <c r="I106" s="587" t="s">
        <v>1351</v>
      </c>
      <c r="J106" s="507"/>
      <c r="K106" s="1423"/>
      <c r="L106" s="151"/>
      <c r="M106" s="278"/>
      <c r="N106" s="271"/>
      <c r="O106" s="1547"/>
      <c r="P106" s="1547"/>
      <c r="AH106" s="1554">
        <v>0</v>
      </c>
    </row>
    <row r="107" spans="1:34" s="1558" customFormat="1" ht="0.75" hidden="1" customHeight="1">
      <c r="A107" s="1700"/>
      <c r="B107" s="1700"/>
      <c r="C107" s="305" t="s">
        <v>1359</v>
      </c>
      <c r="D107" s="2723"/>
      <c r="E107" s="2461"/>
      <c r="F107" s="2616"/>
      <c r="G107" s="336"/>
      <c r="H107" s="1423"/>
      <c r="I107" s="587"/>
      <c r="J107" s="507"/>
      <c r="K107" s="1423"/>
      <c r="L107" s="151"/>
      <c r="M107" s="278"/>
      <c r="N107" s="271"/>
      <c r="O107" s="1547"/>
      <c r="P107" s="1547"/>
      <c r="AH107" s="1554">
        <v>0</v>
      </c>
    </row>
    <row r="108" spans="1:34" s="1558" customFormat="1" ht="18.75" hidden="1" customHeight="1">
      <c r="A108" s="1700" t="s">
        <v>218</v>
      </c>
      <c r="B108" s="1700" t="s">
        <v>219</v>
      </c>
      <c r="C108" s="305"/>
      <c r="D108" s="2723"/>
      <c r="E108" s="2461"/>
      <c r="F108" s="2616" t="str">
        <f>INDEX(PT_DIFFERENTIATION_VTAR,MATCH(A108,PT_DIFFERENTIATION_VTAR_ID,0))</f>
        <v>Плата за подключение (технологическое присоединение) к системе теплоснабжения</v>
      </c>
      <c r="G108" s="2692" t="str">
        <f>INDEX(PT_DIFFERENTIATION_NTAR,MATCH(B108,PT_DIFFERENTIATION_NTAR_ID,0))</f>
        <v/>
      </c>
      <c r="H108" s="1779"/>
      <c r="I108" s="1660"/>
      <c r="J108" s="1694"/>
      <c r="K108" s="1698"/>
      <c r="L108" s="1779" t="s">
        <v>325</v>
      </c>
      <c r="M108" s="278"/>
      <c r="N108" s="271"/>
      <c r="O108" s="1547"/>
      <c r="P108" s="1547"/>
      <c r="AH108" s="1554">
        <v>0</v>
      </c>
    </row>
    <row r="109" spans="1:34" s="1558" customFormat="1" ht="18.75" hidden="1" customHeight="1">
      <c r="A109" s="1700"/>
      <c r="B109" s="1700"/>
      <c r="C109" s="305" t="s">
        <v>1352</v>
      </c>
      <c r="D109" s="2723"/>
      <c r="E109" s="2461"/>
      <c r="F109" s="2616"/>
      <c r="G109" s="2692"/>
      <c r="H109" s="1423"/>
      <c r="I109" s="587" t="s">
        <v>1351</v>
      </c>
      <c r="J109" s="507"/>
      <c r="K109" s="1423"/>
      <c r="L109" s="151"/>
      <c r="M109" s="278"/>
      <c r="N109" s="271"/>
      <c r="O109" s="1547"/>
      <c r="P109" s="1547"/>
      <c r="AH109" s="1554">
        <v>0</v>
      </c>
    </row>
    <row r="110" spans="1:34" s="1558" customFormat="1" ht="0.75" hidden="1" customHeight="1">
      <c r="A110" s="1700"/>
      <c r="B110" s="1700"/>
      <c r="C110" s="305" t="s">
        <v>1359</v>
      </c>
      <c r="D110" s="2723"/>
      <c r="E110" s="2461"/>
      <c r="F110" s="2616"/>
      <c r="G110" s="336"/>
      <c r="H110" s="1423"/>
      <c r="I110" s="587"/>
      <c r="J110" s="507"/>
      <c r="K110" s="1423"/>
      <c r="L110" s="151"/>
      <c r="M110" s="278"/>
      <c r="N110" s="271"/>
      <c r="O110" s="1547"/>
      <c r="P110" s="1547"/>
      <c r="AH110" s="1554">
        <v>0</v>
      </c>
    </row>
    <row r="111" spans="1:34" s="1558" customFormat="1" ht="18.75" hidden="1" customHeight="1">
      <c r="A111" s="1700" t="s">
        <v>224</v>
      </c>
      <c r="B111" s="1700" t="s">
        <v>225</v>
      </c>
      <c r="C111" s="305"/>
      <c r="D111" s="2723"/>
      <c r="E111" s="2461"/>
      <c r="F111" s="2616" t="str">
        <f>INDEX(PT_DIFFERENTIATION_VTAR,MATCH(A111,PT_DIFFERENTIATION_VTAR_ID,0))</f>
        <v>Плата за подключение (технологическое присоединение) к системе теплоснабжения (индивидуальная)</v>
      </c>
      <c r="G111" s="2692" t="str">
        <f>INDEX(PT_DIFFERENTIATION_NTAR,MATCH(B111,PT_DIFFERENTIATION_NTAR_ID,0))</f>
        <v/>
      </c>
      <c r="H111" s="1903"/>
      <c r="I111" s="1660"/>
      <c r="J111" s="1694"/>
      <c r="K111" s="1698"/>
      <c r="L111" s="1903" t="s">
        <v>325</v>
      </c>
      <c r="M111" s="278"/>
      <c r="N111" s="271"/>
      <c r="O111" s="1547"/>
      <c r="P111" s="1547"/>
      <c r="AH111" s="1554">
        <v>0</v>
      </c>
    </row>
    <row r="112" spans="1:34" s="1558" customFormat="1" ht="18.75" hidden="1" customHeight="1">
      <c r="A112" s="1700"/>
      <c r="B112" s="1700"/>
      <c r="C112" s="305" t="s">
        <v>1352</v>
      </c>
      <c r="D112" s="2723"/>
      <c r="E112" s="2461"/>
      <c r="F112" s="2616"/>
      <c r="G112" s="2692"/>
      <c r="H112" s="1423"/>
      <c r="I112" s="587" t="s">
        <v>1351</v>
      </c>
      <c r="J112" s="507"/>
      <c r="K112" s="1423"/>
      <c r="L112" s="151"/>
      <c r="M112" s="278"/>
      <c r="N112" s="271"/>
      <c r="O112" s="1547"/>
      <c r="P112" s="1547"/>
      <c r="AH112" s="1554">
        <v>0</v>
      </c>
    </row>
    <row r="113" spans="1:34" s="1558" customFormat="1" ht="0.75" hidden="1" customHeight="1">
      <c r="A113" s="1700"/>
      <c r="B113" s="1700"/>
      <c r="C113" s="305" t="s">
        <v>1359</v>
      </c>
      <c r="D113" s="2723"/>
      <c r="E113" s="2461"/>
      <c r="F113" s="2616"/>
      <c r="G113" s="336"/>
      <c r="H113" s="1423"/>
      <c r="I113" s="587"/>
      <c r="J113" s="507"/>
      <c r="K113" s="1423"/>
      <c r="L113" s="151"/>
      <c r="M113" s="278"/>
      <c r="N113" s="271"/>
      <c r="O113" s="1547"/>
      <c r="P113" s="1547"/>
      <c r="AH113" s="1554">
        <v>0</v>
      </c>
    </row>
    <row r="114" spans="1:34" s="1558" customFormat="1" ht="18.75" hidden="1" customHeight="1">
      <c r="A114" s="1700" t="s">
        <v>244</v>
      </c>
      <c r="B114" s="1700" t="s">
        <v>245</v>
      </c>
      <c r="C114" s="305"/>
      <c r="D114" s="2723"/>
      <c r="E114" s="2461"/>
      <c r="F114" s="2616" t="str">
        <f>INDEX(PT_DIFFERENTIATION_VTAR,MATCH(A114,PT_DIFFERENTIATION_VTAR_ID,0))</f>
        <v>Тариф на питьевую воду (питьевое водоснабжение)</v>
      </c>
      <c r="G114" s="2692" t="str">
        <f>INDEX(PT_DIFFERENTIATION_NTAR,MATCH(B114,PT_DIFFERENTIATION_NTAR_ID,0))</f>
        <v/>
      </c>
      <c r="H114" s="1779"/>
      <c r="I114" s="1660"/>
      <c r="J114" s="1694"/>
      <c r="K114" s="1698"/>
      <c r="L114" s="1779" t="s">
        <v>325</v>
      </c>
      <c r="M114" s="278"/>
      <c r="N114" s="271"/>
      <c r="O114" s="1547"/>
      <c r="P114" s="1547"/>
      <c r="AH114" s="1554">
        <v>0</v>
      </c>
    </row>
    <row r="115" spans="1:34" s="1558" customFormat="1" ht="18.75" hidden="1" customHeight="1">
      <c r="A115" s="1700"/>
      <c r="B115" s="1700"/>
      <c r="C115" s="305" t="s">
        <v>1352</v>
      </c>
      <c r="D115" s="2723"/>
      <c r="E115" s="2461"/>
      <c r="F115" s="2616"/>
      <c r="G115" s="2692"/>
      <c r="H115" s="1423"/>
      <c r="I115" s="587" t="s">
        <v>1351</v>
      </c>
      <c r="J115" s="507"/>
      <c r="K115" s="1423"/>
      <c r="L115" s="151"/>
      <c r="M115" s="278"/>
      <c r="N115" s="271"/>
      <c r="O115" s="1547"/>
      <c r="P115" s="1547"/>
      <c r="AH115" s="1554">
        <v>0</v>
      </c>
    </row>
    <row r="116" spans="1:34" s="1558" customFormat="1" ht="0.75" hidden="1" customHeight="1">
      <c r="A116" s="1700"/>
      <c r="B116" s="1700"/>
      <c r="C116" s="305" t="s">
        <v>1359</v>
      </c>
      <c r="D116" s="2723"/>
      <c r="E116" s="2461"/>
      <c r="F116" s="2616"/>
      <c r="G116" s="336"/>
      <c r="H116" s="1423"/>
      <c r="I116" s="587"/>
      <c r="J116" s="507"/>
      <c r="K116" s="1423"/>
      <c r="L116" s="151"/>
      <c r="M116" s="278"/>
      <c r="N116" s="271"/>
      <c r="O116" s="1547"/>
      <c r="P116" s="1547"/>
      <c r="AH116" s="1554">
        <v>0</v>
      </c>
    </row>
    <row r="117" spans="1:34" s="1558" customFormat="1" ht="18.75" hidden="1" customHeight="1">
      <c r="A117" s="1700" t="s">
        <v>249</v>
      </c>
      <c r="B117" s="1700" t="s">
        <v>250</v>
      </c>
      <c r="C117" s="305"/>
      <c r="D117" s="2723"/>
      <c r="E117" s="2461"/>
      <c r="F117" s="2616" t="str">
        <f>INDEX(PT_DIFFERENTIATION_VTAR,MATCH(A117,PT_DIFFERENTIATION_VTAR_ID,0))</f>
        <v>Тариф на техническую воду</v>
      </c>
      <c r="G117" s="2692" t="str">
        <f>INDEX(PT_DIFFERENTIATION_NTAR,MATCH(B117,PT_DIFFERENTIATION_NTAR_ID,0))</f>
        <v/>
      </c>
      <c r="H117" s="1779"/>
      <c r="I117" s="1660"/>
      <c r="J117" s="1694"/>
      <c r="K117" s="1698"/>
      <c r="L117" s="1779" t="s">
        <v>325</v>
      </c>
      <c r="M117" s="278"/>
      <c r="N117" s="271"/>
      <c r="O117" s="1547"/>
      <c r="P117" s="1547"/>
      <c r="AH117" s="1554">
        <v>0</v>
      </c>
    </row>
    <row r="118" spans="1:34" s="1558" customFormat="1" ht="18.75" hidden="1" customHeight="1">
      <c r="A118" s="1700"/>
      <c r="B118" s="1700"/>
      <c r="C118" s="305" t="s">
        <v>1352</v>
      </c>
      <c r="D118" s="2723"/>
      <c r="E118" s="2461"/>
      <c r="F118" s="2616"/>
      <c r="G118" s="2692"/>
      <c r="H118" s="1423"/>
      <c r="I118" s="587" t="s">
        <v>1351</v>
      </c>
      <c r="J118" s="507"/>
      <c r="K118" s="1423"/>
      <c r="L118" s="151"/>
      <c r="M118" s="278"/>
      <c r="N118" s="271"/>
      <c r="O118" s="1547"/>
      <c r="P118" s="1547"/>
      <c r="AH118" s="1554">
        <v>0</v>
      </c>
    </row>
    <row r="119" spans="1:34" s="1558" customFormat="1" ht="0.75" hidden="1" customHeight="1">
      <c r="A119" s="1700"/>
      <c r="B119" s="1700"/>
      <c r="C119" s="305" t="s">
        <v>1359</v>
      </c>
      <c r="D119" s="2723"/>
      <c r="E119" s="2461"/>
      <c r="F119" s="2616"/>
      <c r="G119" s="336"/>
      <c r="H119" s="1423"/>
      <c r="I119" s="587"/>
      <c r="J119" s="507"/>
      <c r="K119" s="1423"/>
      <c r="L119" s="151"/>
      <c r="M119" s="278"/>
      <c r="N119" s="271"/>
      <c r="O119" s="1547"/>
      <c r="P119" s="1547"/>
      <c r="AH119" s="1554">
        <v>0</v>
      </c>
    </row>
    <row r="120" spans="1:34" s="1558" customFormat="1" ht="18.75" hidden="1" customHeight="1">
      <c r="A120" s="1700" t="s">
        <v>254</v>
      </c>
      <c r="B120" s="1700" t="s">
        <v>255</v>
      </c>
      <c r="C120" s="305"/>
      <c r="D120" s="2723"/>
      <c r="E120" s="2461"/>
      <c r="F120" s="2616" t="str">
        <f>INDEX(PT_DIFFERENTIATION_VTAR,MATCH(A120,PT_DIFFERENTIATION_VTAR_ID,0))</f>
        <v>Тариф на транспортировку воды</v>
      </c>
      <c r="G120" s="2692" t="str">
        <f>INDEX(PT_DIFFERENTIATION_NTAR,MATCH(B120,PT_DIFFERENTIATION_NTAR_ID,0))</f>
        <v/>
      </c>
      <c r="H120" s="1779"/>
      <c r="I120" s="1660"/>
      <c r="J120" s="1694"/>
      <c r="K120" s="1698"/>
      <c r="L120" s="1779" t="s">
        <v>325</v>
      </c>
      <c r="M120" s="278"/>
      <c r="N120" s="271"/>
      <c r="O120" s="1547"/>
      <c r="P120" s="1547"/>
      <c r="AH120" s="1554">
        <v>0</v>
      </c>
    </row>
    <row r="121" spans="1:34" s="1558" customFormat="1" ht="18.75" hidden="1" customHeight="1">
      <c r="A121" s="1700"/>
      <c r="B121" s="1700"/>
      <c r="C121" s="305" t="s">
        <v>1352</v>
      </c>
      <c r="D121" s="2723"/>
      <c r="E121" s="2461"/>
      <c r="F121" s="2616"/>
      <c r="G121" s="2692"/>
      <c r="H121" s="1423"/>
      <c r="I121" s="587" t="s">
        <v>1351</v>
      </c>
      <c r="J121" s="507"/>
      <c r="K121" s="1423"/>
      <c r="L121" s="151"/>
      <c r="M121" s="278"/>
      <c r="N121" s="271"/>
      <c r="O121" s="1547"/>
      <c r="P121" s="1547"/>
      <c r="AH121" s="1554">
        <v>0</v>
      </c>
    </row>
    <row r="122" spans="1:34" s="1558" customFormat="1" ht="0.75" hidden="1" customHeight="1">
      <c r="A122" s="1700"/>
      <c r="B122" s="1700"/>
      <c r="C122" s="305" t="s">
        <v>1359</v>
      </c>
      <c r="D122" s="2723"/>
      <c r="E122" s="2461"/>
      <c r="F122" s="2616"/>
      <c r="G122" s="336"/>
      <c r="H122" s="1423"/>
      <c r="I122" s="587"/>
      <c r="J122" s="507"/>
      <c r="K122" s="1423"/>
      <c r="L122" s="151"/>
      <c r="M122" s="278"/>
      <c r="N122" s="271"/>
      <c r="O122" s="1547"/>
      <c r="P122" s="1547"/>
      <c r="AH122" s="1554">
        <v>0</v>
      </c>
    </row>
    <row r="123" spans="1:34" s="1558" customFormat="1" ht="18.75" hidden="1" customHeight="1">
      <c r="A123" s="1700" t="s">
        <v>259</v>
      </c>
      <c r="B123" s="1700" t="s">
        <v>260</v>
      </c>
      <c r="C123" s="305"/>
      <c r="D123" s="2723"/>
      <c r="E123" s="2461"/>
      <c r="F123" s="2616" t="str">
        <f>INDEX(PT_DIFFERENTIATION_VTAR,MATCH(A123,PT_DIFFERENTIATION_VTAR_ID,0))</f>
        <v>Тариф на подвоз воды</v>
      </c>
      <c r="G123" s="2692" t="str">
        <f>INDEX(PT_DIFFERENTIATION_NTAR,MATCH(B123,PT_DIFFERENTIATION_NTAR_ID,0))</f>
        <v/>
      </c>
      <c r="H123" s="1779"/>
      <c r="I123" s="1660"/>
      <c r="J123" s="1694"/>
      <c r="K123" s="1698"/>
      <c r="L123" s="1779" t="s">
        <v>325</v>
      </c>
      <c r="M123" s="278"/>
      <c r="N123" s="271"/>
      <c r="O123" s="1547"/>
      <c r="P123" s="1547"/>
      <c r="AH123" s="1554">
        <v>0</v>
      </c>
    </row>
    <row r="124" spans="1:34" s="1558" customFormat="1" ht="18.75" hidden="1" customHeight="1">
      <c r="A124" s="1700"/>
      <c r="B124" s="1700"/>
      <c r="C124" s="305" t="s">
        <v>1352</v>
      </c>
      <c r="D124" s="2723"/>
      <c r="E124" s="2461"/>
      <c r="F124" s="2616"/>
      <c r="G124" s="2692"/>
      <c r="H124" s="1423"/>
      <c r="I124" s="587" t="s">
        <v>1351</v>
      </c>
      <c r="J124" s="507"/>
      <c r="K124" s="1423"/>
      <c r="L124" s="151"/>
      <c r="M124" s="278"/>
      <c r="N124" s="271"/>
      <c r="O124" s="1547"/>
      <c r="P124" s="1547"/>
      <c r="AH124" s="1554">
        <v>0</v>
      </c>
    </row>
    <row r="125" spans="1:34" s="1558" customFormat="1" ht="0.75" hidden="1" customHeight="1">
      <c r="A125" s="1700"/>
      <c r="B125" s="1700"/>
      <c r="C125" s="305" t="s">
        <v>1359</v>
      </c>
      <c r="D125" s="2723"/>
      <c r="E125" s="2461"/>
      <c r="F125" s="2616"/>
      <c r="G125" s="336"/>
      <c r="H125" s="1423"/>
      <c r="I125" s="587"/>
      <c r="J125" s="507"/>
      <c r="K125" s="1423"/>
      <c r="L125" s="151"/>
      <c r="M125" s="278"/>
      <c r="N125" s="271"/>
      <c r="O125" s="1547"/>
      <c r="P125" s="1547"/>
      <c r="AH125" s="1554">
        <v>0</v>
      </c>
    </row>
    <row r="126" spans="1:34" s="1558" customFormat="1" ht="18.75" hidden="1" customHeight="1">
      <c r="A126" s="1700" t="s">
        <v>264</v>
      </c>
      <c r="B126" s="1700" t="s">
        <v>265</v>
      </c>
      <c r="C126" s="305"/>
      <c r="D126" s="2723"/>
      <c r="E126" s="2461"/>
      <c r="F126" s="261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692" t="str">
        <f>INDEX(PT_DIFFERENTIATION_NTAR,MATCH(B126,PT_DIFFERENTIATION_NTAR_ID,0))</f>
        <v/>
      </c>
      <c r="H126" s="1779"/>
      <c r="I126" s="1660"/>
      <c r="J126" s="1694"/>
      <c r="K126" s="1698"/>
      <c r="L126" s="1779" t="s">
        <v>325</v>
      </c>
      <c r="M126" s="278"/>
      <c r="N126" s="271"/>
      <c r="O126" s="1547"/>
      <c r="P126" s="1547"/>
      <c r="AH126" s="1554">
        <v>0</v>
      </c>
    </row>
    <row r="127" spans="1:34" s="1558" customFormat="1" ht="18.75" hidden="1" customHeight="1">
      <c r="A127" s="1700"/>
      <c r="B127" s="1700"/>
      <c r="C127" s="305" t="s">
        <v>1352</v>
      </c>
      <c r="D127" s="2723"/>
      <c r="E127" s="2461"/>
      <c r="F127" s="2616"/>
      <c r="G127" s="2692"/>
      <c r="H127" s="1423"/>
      <c r="I127" s="587" t="s">
        <v>1351</v>
      </c>
      <c r="J127" s="507"/>
      <c r="K127" s="1423"/>
      <c r="L127" s="151"/>
      <c r="M127" s="278"/>
      <c r="N127" s="271"/>
      <c r="O127" s="1547"/>
      <c r="P127" s="1547"/>
      <c r="AH127" s="1554">
        <v>0</v>
      </c>
    </row>
    <row r="128" spans="1:34" s="1558" customFormat="1" ht="0.75" hidden="1" customHeight="1">
      <c r="A128" s="1700"/>
      <c r="B128" s="1700"/>
      <c r="C128" s="305" t="s">
        <v>1359</v>
      </c>
      <c r="D128" s="2723"/>
      <c r="E128" s="2461"/>
      <c r="F128" s="2616"/>
      <c r="G128" s="336"/>
      <c r="H128" s="1423"/>
      <c r="I128" s="587"/>
      <c r="J128" s="507"/>
      <c r="K128" s="1423"/>
      <c r="L128" s="151"/>
      <c r="M128" s="278"/>
      <c r="N128" s="271"/>
      <c r="O128" s="1547"/>
      <c r="P128" s="1547"/>
      <c r="AH128" s="1554">
        <v>0</v>
      </c>
    </row>
    <row r="129" spans="1:34" s="1558" customFormat="1" ht="18.75" hidden="1" customHeight="1">
      <c r="A129" s="1700" t="s">
        <v>269</v>
      </c>
      <c r="B129" s="1700" t="s">
        <v>270</v>
      </c>
      <c r="C129" s="305"/>
      <c r="D129" s="2723"/>
      <c r="E129" s="2461"/>
      <c r="F129" s="2616" t="str">
        <f>INDEX(PT_DIFFERENTIATION_VTAR,MATCH(A129,PT_DIFFERENTIATION_VTAR_ID,0))</f>
        <v>Тариф на горячую воду (горячее водоснабжение)</v>
      </c>
      <c r="G129" s="2692" t="str">
        <f>INDEX(PT_DIFFERENTIATION_NTAR,MATCH(B129,PT_DIFFERENTIATION_NTAR_ID,0))</f>
        <v/>
      </c>
      <c r="H129" s="1779"/>
      <c r="I129" s="1660"/>
      <c r="J129" s="1694"/>
      <c r="K129" s="1698"/>
      <c r="L129" s="1779" t="s">
        <v>325</v>
      </c>
      <c r="M129" s="278"/>
      <c r="N129" s="271"/>
      <c r="O129" s="1547"/>
      <c r="P129" s="1547"/>
      <c r="AH129" s="1554">
        <v>0</v>
      </c>
    </row>
    <row r="130" spans="1:34" s="1558" customFormat="1" ht="18.75" hidden="1" customHeight="1">
      <c r="A130" s="1700"/>
      <c r="B130" s="1700"/>
      <c r="C130" s="305" t="s">
        <v>1352</v>
      </c>
      <c r="D130" s="2723"/>
      <c r="E130" s="2461"/>
      <c r="F130" s="2616"/>
      <c r="G130" s="2692"/>
      <c r="H130" s="1423"/>
      <c r="I130" s="587" t="s">
        <v>1351</v>
      </c>
      <c r="J130" s="507"/>
      <c r="K130" s="1423"/>
      <c r="L130" s="151"/>
      <c r="M130" s="278"/>
      <c r="N130" s="271"/>
      <c r="O130" s="1547"/>
      <c r="P130" s="1547"/>
      <c r="AH130" s="1554">
        <v>0</v>
      </c>
    </row>
    <row r="131" spans="1:34" s="1558" customFormat="1" ht="0.75" hidden="1" customHeight="1">
      <c r="A131" s="1700"/>
      <c r="B131" s="1700"/>
      <c r="C131" s="305" t="s">
        <v>1359</v>
      </c>
      <c r="D131" s="2723"/>
      <c r="E131" s="2461"/>
      <c r="F131" s="2616"/>
      <c r="G131" s="336"/>
      <c r="H131" s="1423"/>
      <c r="I131" s="587"/>
      <c r="J131" s="507"/>
      <c r="K131" s="1423"/>
      <c r="L131" s="151"/>
      <c r="M131" s="278"/>
      <c r="N131" s="271"/>
      <c r="O131" s="1547"/>
      <c r="P131" s="1547"/>
      <c r="AH131" s="1554">
        <v>0</v>
      </c>
    </row>
    <row r="132" spans="1:34" s="1558" customFormat="1" ht="18.75" hidden="1" customHeight="1">
      <c r="A132" s="1700" t="s">
        <v>274</v>
      </c>
      <c r="B132" s="1700" t="s">
        <v>275</v>
      </c>
      <c r="C132" s="305"/>
      <c r="D132" s="2723"/>
      <c r="E132" s="2461"/>
      <c r="F132" s="2616" t="str">
        <f>INDEX(PT_DIFFERENTIATION_VTAR,MATCH(A132,PT_DIFFERENTIATION_VTAR_ID,0))</f>
        <v>Тариф на транспортировку горячей воды</v>
      </c>
      <c r="G132" s="2692" t="str">
        <f>INDEX(PT_DIFFERENTIATION_NTAR,MATCH(B132,PT_DIFFERENTIATION_NTAR_ID,0))</f>
        <v/>
      </c>
      <c r="H132" s="1779"/>
      <c r="I132" s="1660"/>
      <c r="J132" s="1694"/>
      <c r="K132" s="1698"/>
      <c r="L132" s="1779" t="s">
        <v>325</v>
      </c>
      <c r="M132" s="278"/>
      <c r="N132" s="271"/>
      <c r="O132" s="1547"/>
      <c r="P132" s="1547"/>
      <c r="AH132" s="1554">
        <v>0</v>
      </c>
    </row>
    <row r="133" spans="1:34" s="1558" customFormat="1" ht="18.75" hidden="1" customHeight="1">
      <c r="A133" s="1700"/>
      <c r="B133" s="1700"/>
      <c r="C133" s="305" t="s">
        <v>1352</v>
      </c>
      <c r="D133" s="2723"/>
      <c r="E133" s="2461"/>
      <c r="F133" s="2616"/>
      <c r="G133" s="2692"/>
      <c r="H133" s="1423"/>
      <c r="I133" s="587" t="s">
        <v>1351</v>
      </c>
      <c r="J133" s="507"/>
      <c r="K133" s="1423"/>
      <c r="L133" s="151"/>
      <c r="M133" s="278"/>
      <c r="N133" s="271"/>
      <c r="O133" s="1547"/>
      <c r="P133" s="1547"/>
      <c r="AH133" s="1554">
        <v>0</v>
      </c>
    </row>
    <row r="134" spans="1:34" s="1558" customFormat="1" ht="0.75" hidden="1" customHeight="1">
      <c r="A134" s="1700"/>
      <c r="B134" s="1700"/>
      <c r="C134" s="305" t="s">
        <v>1359</v>
      </c>
      <c r="D134" s="2723"/>
      <c r="E134" s="2461"/>
      <c r="F134" s="2616"/>
      <c r="G134" s="336"/>
      <c r="H134" s="1423"/>
      <c r="I134" s="587"/>
      <c r="J134" s="507"/>
      <c r="K134" s="1423"/>
      <c r="L134" s="151"/>
      <c r="M134" s="278"/>
      <c r="N134" s="271"/>
      <c r="O134" s="1547"/>
      <c r="P134" s="1547"/>
      <c r="AH134" s="1554">
        <v>0</v>
      </c>
    </row>
    <row r="135" spans="1:34" s="1558" customFormat="1" ht="18.75" hidden="1" customHeight="1">
      <c r="A135" s="1700" t="s">
        <v>279</v>
      </c>
      <c r="B135" s="1700" t="s">
        <v>280</v>
      </c>
      <c r="C135" s="305"/>
      <c r="D135" s="2723"/>
      <c r="E135" s="2461"/>
      <c r="F135" s="261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692" t="str">
        <f>INDEX(PT_DIFFERENTIATION_NTAR,MATCH(B135,PT_DIFFERENTIATION_NTAR_ID,0))</f>
        <v/>
      </c>
      <c r="H135" s="1779"/>
      <c r="I135" s="1660"/>
      <c r="J135" s="1694"/>
      <c r="K135" s="1698"/>
      <c r="L135" s="1779" t="s">
        <v>325</v>
      </c>
      <c r="M135" s="278"/>
      <c r="N135" s="271"/>
      <c r="O135" s="1547"/>
      <c r="P135" s="1547"/>
      <c r="AH135" s="1554">
        <v>0</v>
      </c>
    </row>
    <row r="136" spans="1:34" s="1558" customFormat="1" ht="18.75" hidden="1" customHeight="1">
      <c r="A136" s="1700"/>
      <c r="B136" s="1700"/>
      <c r="C136" s="305" t="s">
        <v>1352</v>
      </c>
      <c r="D136" s="2723"/>
      <c r="E136" s="2461"/>
      <c r="F136" s="2616"/>
      <c r="G136" s="2692"/>
      <c r="H136" s="1423"/>
      <c r="I136" s="587" t="s">
        <v>1351</v>
      </c>
      <c r="J136" s="507"/>
      <c r="K136" s="1423"/>
      <c r="L136" s="151"/>
      <c r="M136" s="278"/>
      <c r="N136" s="271"/>
      <c r="O136" s="1547"/>
      <c r="P136" s="1547"/>
      <c r="AH136" s="1554">
        <v>0</v>
      </c>
    </row>
    <row r="137" spans="1:34" s="1558" customFormat="1" ht="0.75" hidden="1" customHeight="1">
      <c r="A137" s="1700"/>
      <c r="B137" s="1700"/>
      <c r="C137" s="305" t="s">
        <v>1359</v>
      </c>
      <c r="D137" s="2723"/>
      <c r="E137" s="2461"/>
      <c r="F137" s="2616"/>
      <c r="G137" s="336"/>
      <c r="H137" s="1423"/>
      <c r="I137" s="587"/>
      <c r="J137" s="507"/>
      <c r="K137" s="1423"/>
      <c r="L137" s="151"/>
      <c r="M137" s="278"/>
      <c r="N137" s="271"/>
      <c r="O137" s="1547"/>
      <c r="P137" s="1547"/>
      <c r="AH137" s="1554">
        <v>0</v>
      </c>
    </row>
    <row r="138" spans="1:34" s="1558" customFormat="1" ht="18.75" hidden="1" customHeight="1">
      <c r="A138" s="1700" t="s">
        <v>284</v>
      </c>
      <c r="B138" s="1700" t="s">
        <v>285</v>
      </c>
      <c r="C138" s="305"/>
      <c r="D138" s="2723"/>
      <c r="E138" s="2461"/>
      <c r="F138" s="2616" t="str">
        <f>INDEX(PT_DIFFERENTIATION_VTAR,MATCH(A138,PT_DIFFERENTIATION_VTAR_ID,0))</f>
        <v>Тариф на водоотведение</v>
      </c>
      <c r="G138" s="2692" t="str">
        <f>INDEX(PT_DIFFERENTIATION_NTAR,MATCH(B138,PT_DIFFERENTIATION_NTAR_ID,0))</f>
        <v/>
      </c>
      <c r="H138" s="1779"/>
      <c r="I138" s="1660"/>
      <c r="J138" s="1694"/>
      <c r="K138" s="1698"/>
      <c r="L138" s="1779" t="s">
        <v>325</v>
      </c>
      <c r="M138" s="278"/>
      <c r="N138" s="271"/>
      <c r="O138" s="1547"/>
      <c r="P138" s="1547"/>
      <c r="AH138" s="1554">
        <v>0</v>
      </c>
    </row>
    <row r="139" spans="1:34" s="1558" customFormat="1" ht="18.75" hidden="1" customHeight="1">
      <c r="A139" s="1700"/>
      <c r="B139" s="1700"/>
      <c r="C139" s="305" t="s">
        <v>1352</v>
      </c>
      <c r="D139" s="2723"/>
      <c r="E139" s="2461"/>
      <c r="F139" s="2616"/>
      <c r="G139" s="2692"/>
      <c r="H139" s="1423"/>
      <c r="I139" s="587" t="s">
        <v>1351</v>
      </c>
      <c r="J139" s="507"/>
      <c r="K139" s="1423"/>
      <c r="L139" s="151"/>
      <c r="M139" s="278"/>
      <c r="N139" s="271"/>
      <c r="O139" s="1547"/>
      <c r="P139" s="1547"/>
      <c r="AH139" s="1554">
        <v>0</v>
      </c>
    </row>
    <row r="140" spans="1:34" s="1558" customFormat="1" ht="0.75" hidden="1" customHeight="1">
      <c r="A140" s="1700"/>
      <c r="B140" s="1700"/>
      <c r="C140" s="305" t="s">
        <v>1359</v>
      </c>
      <c r="D140" s="2723"/>
      <c r="E140" s="2461"/>
      <c r="F140" s="2616"/>
      <c r="G140" s="336"/>
      <c r="H140" s="1423"/>
      <c r="I140" s="587"/>
      <c r="J140" s="507"/>
      <c r="K140" s="1423"/>
      <c r="L140" s="151"/>
      <c r="M140" s="278"/>
      <c r="N140" s="271"/>
      <c r="O140" s="1547"/>
      <c r="P140" s="1547"/>
      <c r="AH140" s="1554">
        <v>0</v>
      </c>
    </row>
    <row r="141" spans="1:34" s="1558" customFormat="1" ht="18.75" hidden="1" customHeight="1">
      <c r="A141" s="1700" t="s">
        <v>289</v>
      </c>
      <c r="B141" s="1700" t="s">
        <v>290</v>
      </c>
      <c r="C141" s="305"/>
      <c r="D141" s="2723"/>
      <c r="E141" s="2461"/>
      <c r="F141" s="2616" t="str">
        <f>INDEX(PT_DIFFERENTIATION_VTAR,MATCH(A141,PT_DIFFERENTIATION_VTAR_ID,0))</f>
        <v>Тариф на транспортировку сточных вод</v>
      </c>
      <c r="G141" s="2692" t="str">
        <f>INDEX(PT_DIFFERENTIATION_NTAR,MATCH(B141,PT_DIFFERENTIATION_NTAR_ID,0))</f>
        <v/>
      </c>
      <c r="H141" s="1779"/>
      <c r="I141" s="1660"/>
      <c r="J141" s="1694"/>
      <c r="K141" s="1698"/>
      <c r="L141" s="1779" t="s">
        <v>325</v>
      </c>
      <c r="M141" s="278"/>
      <c r="N141" s="271"/>
      <c r="O141" s="1547"/>
      <c r="P141" s="1547"/>
      <c r="AH141" s="1554">
        <v>0</v>
      </c>
    </row>
    <row r="142" spans="1:34" s="1558" customFormat="1" ht="18.75" hidden="1" customHeight="1">
      <c r="A142" s="1700"/>
      <c r="B142" s="1700"/>
      <c r="C142" s="305" t="s">
        <v>1352</v>
      </c>
      <c r="D142" s="2723"/>
      <c r="E142" s="2461"/>
      <c r="F142" s="2616"/>
      <c r="G142" s="2692"/>
      <c r="H142" s="1423"/>
      <c r="I142" s="587" t="s">
        <v>1351</v>
      </c>
      <c r="J142" s="507"/>
      <c r="K142" s="1423"/>
      <c r="L142" s="151"/>
      <c r="M142" s="278"/>
      <c r="N142" s="271"/>
      <c r="O142" s="1547"/>
      <c r="P142" s="1547"/>
      <c r="AH142" s="1554">
        <v>0</v>
      </c>
    </row>
    <row r="143" spans="1:34" s="1558" customFormat="1" ht="0.75" hidden="1" customHeight="1">
      <c r="A143" s="1700"/>
      <c r="B143" s="1700"/>
      <c r="C143" s="305" t="s">
        <v>1359</v>
      </c>
      <c r="D143" s="2723"/>
      <c r="E143" s="2461"/>
      <c r="F143" s="2616"/>
      <c r="G143" s="336"/>
      <c r="H143" s="1423"/>
      <c r="I143" s="587"/>
      <c r="J143" s="507"/>
      <c r="K143" s="1423"/>
      <c r="L143" s="151"/>
      <c r="M143" s="278"/>
      <c r="N143" s="271"/>
      <c r="O143" s="1547"/>
      <c r="P143" s="1547"/>
      <c r="AH143" s="1554">
        <v>0</v>
      </c>
    </row>
    <row r="144" spans="1:34" s="1558" customFormat="1" ht="18.75" hidden="1" customHeight="1">
      <c r="A144" s="1700" t="s">
        <v>294</v>
      </c>
      <c r="B144" s="1700" t="s">
        <v>295</v>
      </c>
      <c r="C144" s="305"/>
      <c r="D144" s="2723"/>
      <c r="E144" s="2461"/>
      <c r="F144" s="2616" t="str">
        <f>INDEX(PT_DIFFERENTIATION_VTAR,MATCH(A144,PT_DIFFERENTIATION_VTAR_ID,0))</f>
        <v>Тариф на подключение (технологическое присоединение) к централизованной системе водоотведения</v>
      </c>
      <c r="G144" s="2692" t="str">
        <f>INDEX(PT_DIFFERENTIATION_NTAR,MATCH(B144,PT_DIFFERENTIATION_NTAR_ID,0))</f>
        <v/>
      </c>
      <c r="H144" s="1779"/>
      <c r="I144" s="1660"/>
      <c r="J144" s="1694"/>
      <c r="K144" s="1698"/>
      <c r="L144" s="1779" t="s">
        <v>325</v>
      </c>
      <c r="M144" s="278"/>
      <c r="N144" s="271"/>
      <c r="O144" s="1547"/>
      <c r="P144" s="1547"/>
      <c r="AH144" s="1554">
        <v>0</v>
      </c>
    </row>
    <row r="145" spans="1:34" s="1558" customFormat="1" ht="18.75" hidden="1" customHeight="1">
      <c r="A145" s="1700"/>
      <c r="B145" s="1700"/>
      <c r="C145" s="305" t="s">
        <v>1352</v>
      </c>
      <c r="D145" s="2723"/>
      <c r="E145" s="2461"/>
      <c r="F145" s="2616"/>
      <c r="G145" s="2692"/>
      <c r="H145" s="1423"/>
      <c r="I145" s="587" t="s">
        <v>1351</v>
      </c>
      <c r="J145" s="507"/>
      <c r="K145" s="1423"/>
      <c r="L145" s="151"/>
      <c r="M145" s="278"/>
      <c r="N145" s="271"/>
      <c r="O145" s="1547"/>
      <c r="P145" s="1547"/>
      <c r="AH145" s="1554">
        <v>0</v>
      </c>
    </row>
    <row r="146" spans="1:34" s="1558" customFormat="1" ht="1.1499999999999999" customHeight="1">
      <c r="A146" s="1700"/>
      <c r="B146" s="1700"/>
      <c r="C146" s="305" t="s">
        <v>1359</v>
      </c>
      <c r="D146" s="2723"/>
      <c r="E146" s="2461"/>
      <c r="F146" s="2616"/>
      <c r="G146" s="336"/>
      <c r="H146" s="1423"/>
      <c r="I146" s="587"/>
      <c r="J146" s="507"/>
      <c r="K146" s="1423"/>
      <c r="L146" s="151"/>
      <c r="M146" s="278"/>
      <c r="N146" s="271"/>
      <c r="O146" s="1547"/>
      <c r="P146" s="1547"/>
      <c r="AH146" s="1554">
        <v>1</v>
      </c>
    </row>
    <row r="147" spans="1:34" ht="19.899999999999999" customHeight="1">
      <c r="A147" s="1700"/>
      <c r="B147" s="1700"/>
      <c r="D147" s="312"/>
      <c r="E147" s="84" t="s">
        <v>92</v>
      </c>
      <c r="F147" s="272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722"/>
      <c r="H147" s="2722"/>
      <c r="I147" s="2722"/>
      <c r="J147" s="2722"/>
      <c r="K147" s="2722"/>
      <c r="L147" s="2722"/>
      <c r="M147" s="234"/>
      <c r="N147" s="271"/>
      <c r="AH147" s="310">
        <v>19</v>
      </c>
    </row>
    <row r="148" spans="1:34" s="1558" customFormat="1" ht="60.75" hidden="1" customHeight="1">
      <c r="A148" s="1700" t="s">
        <v>176</v>
      </c>
      <c r="B148" s="1700" t="s">
        <v>177</v>
      </c>
      <c r="C148" s="305"/>
      <c r="D148" s="2723"/>
      <c r="E148" s="2461"/>
      <c r="F148" s="261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692" t="str">
        <f>INDEX(PT_DIFFERENTIATION_NTAR,MATCH(B148,PT_DIFFERENTIATION_NTAR_ID,0))</f>
        <v/>
      </c>
      <c r="H148" s="1779"/>
      <c r="I148" s="1660"/>
      <c r="J148" s="1694"/>
      <c r="K148" s="1698"/>
      <c r="L148" s="1779" t="s">
        <v>325</v>
      </c>
      <c r="M148" s="242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1"/>
      <c r="O148" s="1547"/>
      <c r="P148" s="1547"/>
      <c r="AH148" s="1554">
        <v>0</v>
      </c>
    </row>
    <row r="149" spans="1:34" s="1558" customFormat="1" ht="18.75" hidden="1" customHeight="1">
      <c r="A149" s="1700"/>
      <c r="B149" s="1700"/>
      <c r="C149" s="305" t="s">
        <v>1352</v>
      </c>
      <c r="D149" s="2723"/>
      <c r="E149" s="2461"/>
      <c r="F149" s="2616"/>
      <c r="G149" s="2692"/>
      <c r="H149" s="1423"/>
      <c r="I149" s="587" t="s">
        <v>1351</v>
      </c>
      <c r="J149" s="507"/>
      <c r="K149" s="1423"/>
      <c r="L149" s="151"/>
      <c r="M149" s="2430"/>
      <c r="N149" s="271"/>
      <c r="O149" s="1547"/>
      <c r="P149" s="1547"/>
      <c r="AH149" s="1554">
        <v>0</v>
      </c>
    </row>
    <row r="150" spans="1:34" s="1558" customFormat="1" ht="0.75" hidden="1" customHeight="1">
      <c r="A150" s="1700"/>
      <c r="B150" s="1700"/>
      <c r="C150" s="305" t="s">
        <v>1359</v>
      </c>
      <c r="D150" s="2723"/>
      <c r="E150" s="2461"/>
      <c r="F150" s="2616"/>
      <c r="G150" s="336"/>
      <c r="H150" s="1423"/>
      <c r="I150" s="587"/>
      <c r="J150" s="507"/>
      <c r="K150" s="1423"/>
      <c r="L150" s="151"/>
      <c r="M150" s="2430"/>
      <c r="N150" s="271"/>
      <c r="O150" s="1547"/>
      <c r="P150" s="1547"/>
      <c r="AH150" s="1554">
        <v>0</v>
      </c>
    </row>
    <row r="151" spans="1:34" s="1558" customFormat="1" ht="45" hidden="1" customHeight="1">
      <c r="A151" s="1700" t="s">
        <v>181</v>
      </c>
      <c r="B151" s="1700" t="s">
        <v>182</v>
      </c>
      <c r="C151" s="305"/>
      <c r="D151" s="2723"/>
      <c r="E151" s="2461"/>
      <c r="F151" s="2616" t="str">
        <f>INDEX(PT_DIFFERENTIATION_VTAR,MATCH(A151,PT_DIFFERENTIATION_VTAR_ID,0))</f>
        <v/>
      </c>
      <c r="G151" s="2692" t="str">
        <f>INDEX(PT_DIFFERENTIATION_NTAR,MATCH(B151,PT_DIFFERENTIATION_NTAR_ID,0))</f>
        <v/>
      </c>
      <c r="H151" s="1779"/>
      <c r="I151" s="1660"/>
      <c r="J151" s="1694"/>
      <c r="K151" s="1698"/>
      <c r="L151" s="1779" t="s">
        <v>325</v>
      </c>
      <c r="M151" s="2431"/>
      <c r="N151" s="271"/>
      <c r="O151" s="1547"/>
      <c r="P151" s="1547"/>
      <c r="AH151" s="1554">
        <v>0</v>
      </c>
    </row>
    <row r="152" spans="1:34" s="1558" customFormat="1" ht="18.75" hidden="1" customHeight="1">
      <c r="A152" s="1700"/>
      <c r="B152" s="1700"/>
      <c r="C152" s="305" t="s">
        <v>1352</v>
      </c>
      <c r="D152" s="2723"/>
      <c r="E152" s="2461"/>
      <c r="F152" s="2616"/>
      <c r="G152" s="2692"/>
      <c r="H152" s="1423"/>
      <c r="I152" s="587" t="s">
        <v>1351</v>
      </c>
      <c r="J152" s="507"/>
      <c r="K152" s="1423"/>
      <c r="L152" s="151"/>
      <c r="M152" s="1778"/>
      <c r="N152" s="271"/>
      <c r="O152" s="1547"/>
      <c r="P152" s="1547"/>
      <c r="AH152" s="1554">
        <v>0</v>
      </c>
    </row>
    <row r="153" spans="1:34" s="1558" customFormat="1" ht="0.75" hidden="1" customHeight="1">
      <c r="A153" s="1700"/>
      <c r="B153" s="1700"/>
      <c r="C153" s="305" t="s">
        <v>1359</v>
      </c>
      <c r="D153" s="2723"/>
      <c r="E153" s="2461"/>
      <c r="F153" s="2616"/>
      <c r="G153" s="336"/>
      <c r="H153" s="1423"/>
      <c r="I153" s="587"/>
      <c r="J153" s="507"/>
      <c r="K153" s="1423"/>
      <c r="L153" s="151"/>
      <c r="M153" s="278"/>
      <c r="N153" s="271"/>
      <c r="O153" s="1547"/>
      <c r="P153" s="1547"/>
      <c r="AH153" s="1554">
        <v>0</v>
      </c>
    </row>
    <row r="154" spans="1:34" s="1558" customFormat="1" ht="45" hidden="1" customHeight="1">
      <c r="A154" s="1700" t="s">
        <v>188</v>
      </c>
      <c r="B154" s="1700" t="s">
        <v>189</v>
      </c>
      <c r="C154" s="305"/>
      <c r="D154" s="2723"/>
      <c r="E154" s="2461"/>
      <c r="F154" s="261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692" t="str">
        <f>INDEX(PT_DIFFERENTIATION_NTAR,MATCH(B154,PT_DIFFERENTIATION_NTAR_ID,0))</f>
        <v/>
      </c>
      <c r="H154" s="1779"/>
      <c r="I154" s="1660"/>
      <c r="J154" s="1694"/>
      <c r="K154" s="1698"/>
      <c r="L154" s="1779" t="s">
        <v>325</v>
      </c>
      <c r="M154" s="278"/>
      <c r="N154" s="271"/>
      <c r="O154" s="1547"/>
      <c r="P154" s="1547"/>
      <c r="AH154" s="1554">
        <v>0</v>
      </c>
    </row>
    <row r="155" spans="1:34" s="1558" customFormat="1" ht="18.75" hidden="1" customHeight="1">
      <c r="A155" s="1700"/>
      <c r="B155" s="1700"/>
      <c r="C155" s="305" t="s">
        <v>1352</v>
      </c>
      <c r="D155" s="2723"/>
      <c r="E155" s="2461"/>
      <c r="F155" s="2616"/>
      <c r="G155" s="2692"/>
      <c r="H155" s="1423"/>
      <c r="I155" s="587" t="s">
        <v>1351</v>
      </c>
      <c r="J155" s="507"/>
      <c r="K155" s="1423"/>
      <c r="L155" s="151"/>
      <c r="M155" s="278"/>
      <c r="N155" s="271"/>
      <c r="O155" s="1547"/>
      <c r="P155" s="1547"/>
      <c r="AH155" s="1554">
        <v>0</v>
      </c>
    </row>
    <row r="156" spans="1:34" s="1558" customFormat="1" ht="0.75" hidden="1" customHeight="1">
      <c r="A156" s="1700"/>
      <c r="B156" s="1700"/>
      <c r="C156" s="305" t="s">
        <v>1359</v>
      </c>
      <c r="D156" s="2723"/>
      <c r="E156" s="2461"/>
      <c r="F156" s="2616"/>
      <c r="G156" s="336"/>
      <c r="H156" s="1423"/>
      <c r="I156" s="587"/>
      <c r="J156" s="507"/>
      <c r="K156" s="1423"/>
      <c r="L156" s="151"/>
      <c r="M156" s="278"/>
      <c r="N156" s="271"/>
      <c r="O156" s="1547"/>
      <c r="P156" s="1547"/>
      <c r="AH156" s="1554">
        <v>0</v>
      </c>
    </row>
    <row r="157" spans="1:34" s="1558" customFormat="1" ht="45" hidden="1" customHeight="1">
      <c r="A157" s="1700" t="s">
        <v>194</v>
      </c>
      <c r="B157" s="1700" t="s">
        <v>195</v>
      </c>
      <c r="C157" s="305"/>
      <c r="D157" s="2723"/>
      <c r="E157" s="2461"/>
      <c r="F157" s="261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692" t="str">
        <f>INDEX(PT_DIFFERENTIATION_NTAR,MATCH(B157,PT_DIFFERENTIATION_NTAR_ID,0))</f>
        <v/>
      </c>
      <c r="H157" s="1779"/>
      <c r="I157" s="1660"/>
      <c r="J157" s="1694"/>
      <c r="K157" s="1698"/>
      <c r="L157" s="1779" t="s">
        <v>325</v>
      </c>
      <c r="M157" s="278"/>
      <c r="N157" s="271"/>
      <c r="O157" s="1547"/>
      <c r="P157" s="1547"/>
      <c r="AH157" s="1554">
        <v>0</v>
      </c>
    </row>
    <row r="158" spans="1:34" s="1558" customFormat="1" ht="18.75" hidden="1" customHeight="1">
      <c r="A158" s="1700"/>
      <c r="B158" s="1700"/>
      <c r="C158" s="305" t="s">
        <v>1352</v>
      </c>
      <c r="D158" s="2723"/>
      <c r="E158" s="2461"/>
      <c r="F158" s="2616"/>
      <c r="G158" s="2692"/>
      <c r="H158" s="1423"/>
      <c r="I158" s="587" t="s">
        <v>1351</v>
      </c>
      <c r="J158" s="507"/>
      <c r="K158" s="1423"/>
      <c r="L158" s="151"/>
      <c r="M158" s="278"/>
      <c r="N158" s="271"/>
      <c r="O158" s="1547"/>
      <c r="P158" s="1547"/>
      <c r="AH158" s="1554">
        <v>0</v>
      </c>
    </row>
    <row r="159" spans="1:34" s="1558" customFormat="1" ht="0.75" hidden="1" customHeight="1">
      <c r="A159" s="1700"/>
      <c r="B159" s="1700"/>
      <c r="C159" s="305" t="s">
        <v>1359</v>
      </c>
      <c r="D159" s="2723"/>
      <c r="E159" s="2461"/>
      <c r="F159" s="2616"/>
      <c r="G159" s="336"/>
      <c r="H159" s="1423"/>
      <c r="I159" s="587"/>
      <c r="J159" s="507"/>
      <c r="K159" s="1423"/>
      <c r="L159" s="151"/>
      <c r="M159" s="278"/>
      <c r="N159" s="271"/>
      <c r="O159" s="1547"/>
      <c r="P159" s="1547"/>
      <c r="AH159" s="1554">
        <v>0</v>
      </c>
    </row>
    <row r="160" spans="1:34" s="1558" customFormat="1" ht="18.75" hidden="1" customHeight="1">
      <c r="A160" s="1700" t="s">
        <v>200</v>
      </c>
      <c r="B160" s="1700" t="s">
        <v>201</v>
      </c>
      <c r="C160" s="305"/>
      <c r="D160" s="2723"/>
      <c r="E160" s="2461"/>
      <c r="F160" s="2616" t="str">
        <f>INDEX(PT_DIFFERENTIATION_VTAR,MATCH(A160,PT_DIFFERENTIATION_VTAR_ID,0))</f>
        <v>Тарифы на услуги по передаче тепловой энергии</v>
      </c>
      <c r="G160" s="2692" t="str">
        <f>INDEX(PT_DIFFERENTIATION_NTAR,MATCH(B160,PT_DIFFERENTIATION_NTAR_ID,0))</f>
        <v/>
      </c>
      <c r="H160" s="1779"/>
      <c r="I160" s="1660"/>
      <c r="J160" s="1694"/>
      <c r="K160" s="1698"/>
      <c r="L160" s="1779" t="s">
        <v>325</v>
      </c>
      <c r="M160" s="278"/>
      <c r="N160" s="271"/>
      <c r="O160" s="1547"/>
      <c r="P160" s="1547"/>
      <c r="AH160" s="1554">
        <v>0</v>
      </c>
    </row>
    <row r="161" spans="1:34" s="1558" customFormat="1" ht="18.75" hidden="1" customHeight="1">
      <c r="A161" s="1700"/>
      <c r="B161" s="1700"/>
      <c r="C161" s="305" t="s">
        <v>1352</v>
      </c>
      <c r="D161" s="2723"/>
      <c r="E161" s="2461"/>
      <c r="F161" s="2616"/>
      <c r="G161" s="2692"/>
      <c r="H161" s="1423"/>
      <c r="I161" s="587" t="s">
        <v>1351</v>
      </c>
      <c r="J161" s="507"/>
      <c r="K161" s="1423"/>
      <c r="L161" s="151"/>
      <c r="M161" s="278"/>
      <c r="N161" s="271"/>
      <c r="O161" s="1547"/>
      <c r="P161" s="1547"/>
      <c r="AH161" s="1554">
        <v>0</v>
      </c>
    </row>
    <row r="162" spans="1:34" s="1558" customFormat="1" ht="0.75" hidden="1" customHeight="1">
      <c r="A162" s="1700"/>
      <c r="B162" s="1700"/>
      <c r="C162" s="305" t="s">
        <v>1359</v>
      </c>
      <c r="D162" s="2723"/>
      <c r="E162" s="2461"/>
      <c r="F162" s="2616"/>
      <c r="G162" s="336"/>
      <c r="H162" s="1423"/>
      <c r="I162" s="587"/>
      <c r="J162" s="507"/>
      <c r="K162" s="1423"/>
      <c r="L162" s="151"/>
      <c r="M162" s="278"/>
      <c r="N162" s="271"/>
      <c r="O162" s="1547"/>
      <c r="P162" s="1547"/>
      <c r="AH162" s="1554">
        <v>0</v>
      </c>
    </row>
    <row r="163" spans="1:34" s="1558" customFormat="1" ht="18.75" hidden="1" customHeight="1">
      <c r="A163" s="1700" t="s">
        <v>206</v>
      </c>
      <c r="B163" s="1700" t="s">
        <v>207</v>
      </c>
      <c r="C163" s="305"/>
      <c r="D163" s="2723"/>
      <c r="E163" s="2461"/>
      <c r="F163" s="2616" t="str">
        <f>INDEX(PT_DIFFERENTIATION_VTAR,MATCH(A163,PT_DIFFERENTIATION_VTAR_ID,0))</f>
        <v>Тарифы на услуги по передаче теплоносителя</v>
      </c>
      <c r="G163" s="2692" t="str">
        <f>INDEX(PT_DIFFERENTIATION_NTAR,MATCH(B163,PT_DIFFERENTIATION_NTAR_ID,0))</f>
        <v/>
      </c>
      <c r="H163" s="1779"/>
      <c r="I163" s="1660"/>
      <c r="J163" s="1694"/>
      <c r="K163" s="1698"/>
      <c r="L163" s="1779" t="s">
        <v>325</v>
      </c>
      <c r="M163" s="278"/>
      <c r="N163" s="271"/>
      <c r="O163" s="1547"/>
      <c r="P163" s="1547"/>
      <c r="AH163" s="1554">
        <v>0</v>
      </c>
    </row>
    <row r="164" spans="1:34" s="1558" customFormat="1" ht="18.75" hidden="1" customHeight="1">
      <c r="A164" s="1700"/>
      <c r="B164" s="1700"/>
      <c r="C164" s="305" t="s">
        <v>1352</v>
      </c>
      <c r="D164" s="2723"/>
      <c r="E164" s="2461"/>
      <c r="F164" s="2616"/>
      <c r="G164" s="2692"/>
      <c r="H164" s="1423"/>
      <c r="I164" s="587" t="s">
        <v>1351</v>
      </c>
      <c r="J164" s="507"/>
      <c r="K164" s="1423"/>
      <c r="L164" s="151"/>
      <c r="M164" s="278"/>
      <c r="N164" s="271"/>
      <c r="O164" s="1547"/>
      <c r="P164" s="1547"/>
      <c r="AH164" s="1554">
        <v>0</v>
      </c>
    </row>
    <row r="165" spans="1:34" s="1558" customFormat="1" ht="0.75" hidden="1" customHeight="1">
      <c r="A165" s="1700"/>
      <c r="B165" s="1700"/>
      <c r="C165" s="305" t="s">
        <v>1359</v>
      </c>
      <c r="D165" s="2723"/>
      <c r="E165" s="2461"/>
      <c r="F165" s="2616"/>
      <c r="G165" s="336"/>
      <c r="H165" s="1423"/>
      <c r="I165" s="587"/>
      <c r="J165" s="507"/>
      <c r="K165" s="1423"/>
      <c r="L165" s="151"/>
      <c r="M165" s="278"/>
      <c r="N165" s="271"/>
      <c r="O165" s="1547"/>
      <c r="P165" s="1547"/>
      <c r="AH165" s="1554">
        <v>0</v>
      </c>
    </row>
    <row r="166" spans="1:34" s="1558" customFormat="1" ht="18.75" hidden="1" customHeight="1">
      <c r="A166" s="1700" t="s">
        <v>212</v>
      </c>
      <c r="B166" s="1700" t="s">
        <v>213</v>
      </c>
      <c r="C166" s="305"/>
      <c r="D166" s="2723"/>
      <c r="E166" s="2461"/>
      <c r="F166" s="261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692" t="str">
        <f>INDEX(PT_DIFFERENTIATION_NTAR,MATCH(B166,PT_DIFFERENTIATION_NTAR_ID,0))</f>
        <v/>
      </c>
      <c r="H166" s="1779"/>
      <c r="I166" s="1660"/>
      <c r="J166" s="1694"/>
      <c r="K166" s="1698"/>
      <c r="L166" s="1779" t="s">
        <v>325</v>
      </c>
      <c r="M166" s="278"/>
      <c r="N166" s="271"/>
      <c r="O166" s="1547"/>
      <c r="P166" s="1547"/>
      <c r="AH166" s="1554">
        <v>0</v>
      </c>
    </row>
    <row r="167" spans="1:34" s="1558" customFormat="1" ht="18.75" hidden="1" customHeight="1">
      <c r="A167" s="1700"/>
      <c r="B167" s="1700"/>
      <c r="C167" s="305" t="s">
        <v>1352</v>
      </c>
      <c r="D167" s="2723"/>
      <c r="E167" s="2461"/>
      <c r="F167" s="2616"/>
      <c r="G167" s="2692"/>
      <c r="H167" s="1423"/>
      <c r="I167" s="587" t="s">
        <v>1351</v>
      </c>
      <c r="J167" s="507"/>
      <c r="K167" s="1423"/>
      <c r="L167" s="151"/>
      <c r="M167" s="278"/>
      <c r="N167" s="271"/>
      <c r="O167" s="1547"/>
      <c r="P167" s="1547"/>
      <c r="AH167" s="1554">
        <v>0</v>
      </c>
    </row>
    <row r="168" spans="1:34" s="1558" customFormat="1" ht="0.75" hidden="1" customHeight="1">
      <c r="A168" s="1700"/>
      <c r="B168" s="1700"/>
      <c r="C168" s="305" t="s">
        <v>1359</v>
      </c>
      <c r="D168" s="2723"/>
      <c r="E168" s="2461"/>
      <c r="F168" s="2616"/>
      <c r="G168" s="336"/>
      <c r="H168" s="1423"/>
      <c r="I168" s="587"/>
      <c r="J168" s="507"/>
      <c r="K168" s="1423"/>
      <c r="L168" s="151"/>
      <c r="M168" s="278"/>
      <c r="N168" s="271"/>
      <c r="O168" s="1547"/>
      <c r="P168" s="1547"/>
      <c r="AH168" s="1554">
        <v>0</v>
      </c>
    </row>
    <row r="169" spans="1:34" s="1558" customFormat="1" ht="18.75" hidden="1" customHeight="1">
      <c r="A169" s="1700" t="s">
        <v>218</v>
      </c>
      <c r="B169" s="1700" t="s">
        <v>219</v>
      </c>
      <c r="C169" s="305"/>
      <c r="D169" s="2723"/>
      <c r="E169" s="2461"/>
      <c r="F169" s="2616" t="str">
        <f>INDEX(PT_DIFFERENTIATION_VTAR,MATCH(A169,PT_DIFFERENTIATION_VTAR_ID,0))</f>
        <v>Плата за подключение (технологическое присоединение) к системе теплоснабжения</v>
      </c>
      <c r="G169" s="2692" t="str">
        <f>INDEX(PT_DIFFERENTIATION_NTAR,MATCH(B169,PT_DIFFERENTIATION_NTAR_ID,0))</f>
        <v/>
      </c>
      <c r="H169" s="1779"/>
      <c r="I169" s="1660"/>
      <c r="J169" s="1694"/>
      <c r="K169" s="1698"/>
      <c r="L169" s="1779" t="s">
        <v>325</v>
      </c>
      <c r="M169" s="278"/>
      <c r="N169" s="271"/>
      <c r="O169" s="1547"/>
      <c r="P169" s="1547"/>
      <c r="AH169" s="1554">
        <v>0</v>
      </c>
    </row>
    <row r="170" spans="1:34" s="1558" customFormat="1" ht="18.75" hidden="1" customHeight="1">
      <c r="A170" s="1700"/>
      <c r="B170" s="1700"/>
      <c r="C170" s="305" t="s">
        <v>1352</v>
      </c>
      <c r="D170" s="2723"/>
      <c r="E170" s="2461"/>
      <c r="F170" s="2616"/>
      <c r="G170" s="2692"/>
      <c r="H170" s="1423"/>
      <c r="I170" s="587" t="s">
        <v>1351</v>
      </c>
      <c r="J170" s="507"/>
      <c r="K170" s="1423"/>
      <c r="L170" s="151"/>
      <c r="M170" s="278"/>
      <c r="N170" s="271"/>
      <c r="O170" s="1547"/>
      <c r="P170" s="1547"/>
      <c r="AH170" s="1554">
        <v>0</v>
      </c>
    </row>
    <row r="171" spans="1:34" s="1558" customFormat="1" ht="0.75" hidden="1" customHeight="1">
      <c r="A171" s="1700"/>
      <c r="B171" s="1700"/>
      <c r="C171" s="305" t="s">
        <v>1359</v>
      </c>
      <c r="D171" s="2723"/>
      <c r="E171" s="2461"/>
      <c r="F171" s="2616"/>
      <c r="G171" s="336"/>
      <c r="H171" s="1423"/>
      <c r="I171" s="587"/>
      <c r="J171" s="507"/>
      <c r="K171" s="1423"/>
      <c r="L171" s="151"/>
      <c r="M171" s="278"/>
      <c r="N171" s="271"/>
      <c r="O171" s="1547"/>
      <c r="P171" s="1547"/>
      <c r="AH171" s="1554">
        <v>0</v>
      </c>
    </row>
    <row r="172" spans="1:34" s="1558" customFormat="1" ht="18.75" hidden="1" customHeight="1">
      <c r="A172" s="1700" t="s">
        <v>224</v>
      </c>
      <c r="B172" s="1700" t="s">
        <v>225</v>
      </c>
      <c r="C172" s="305"/>
      <c r="D172" s="2723"/>
      <c r="E172" s="2461"/>
      <c r="F172" s="2616" t="str">
        <f>INDEX(PT_DIFFERENTIATION_VTAR,MATCH(A172,PT_DIFFERENTIATION_VTAR_ID,0))</f>
        <v>Плата за подключение (технологическое присоединение) к системе теплоснабжения (индивидуальная)</v>
      </c>
      <c r="G172" s="2692" t="str">
        <f>INDEX(PT_DIFFERENTIATION_NTAR,MATCH(B172,PT_DIFFERENTIATION_NTAR_ID,0))</f>
        <v/>
      </c>
      <c r="H172" s="1903"/>
      <c r="I172" s="1660"/>
      <c r="J172" s="1694"/>
      <c r="K172" s="1698"/>
      <c r="L172" s="1903" t="s">
        <v>325</v>
      </c>
      <c r="M172" s="278"/>
      <c r="N172" s="271"/>
      <c r="O172" s="1547"/>
      <c r="P172" s="1547"/>
      <c r="AH172" s="1554">
        <v>0</v>
      </c>
    </row>
    <row r="173" spans="1:34" s="1558" customFormat="1" ht="18.75" hidden="1" customHeight="1">
      <c r="A173" s="1700"/>
      <c r="B173" s="1700"/>
      <c r="C173" s="305" t="s">
        <v>1352</v>
      </c>
      <c r="D173" s="2723"/>
      <c r="E173" s="2461"/>
      <c r="F173" s="2616"/>
      <c r="G173" s="2692"/>
      <c r="H173" s="1423"/>
      <c r="I173" s="587" t="s">
        <v>1351</v>
      </c>
      <c r="J173" s="507"/>
      <c r="K173" s="1423"/>
      <c r="L173" s="151"/>
      <c r="M173" s="278"/>
      <c r="N173" s="271"/>
      <c r="O173" s="1547"/>
      <c r="P173" s="1547"/>
      <c r="AH173" s="1554">
        <v>0</v>
      </c>
    </row>
    <row r="174" spans="1:34" s="1558" customFormat="1" ht="0.75" hidden="1" customHeight="1">
      <c r="A174" s="1700"/>
      <c r="B174" s="1700"/>
      <c r="C174" s="305" t="s">
        <v>1359</v>
      </c>
      <c r="D174" s="2723"/>
      <c r="E174" s="2461"/>
      <c r="F174" s="2616"/>
      <c r="G174" s="336"/>
      <c r="H174" s="1423"/>
      <c r="I174" s="587"/>
      <c r="J174" s="507"/>
      <c r="K174" s="1423"/>
      <c r="L174" s="151"/>
      <c r="M174" s="278"/>
      <c r="N174" s="271"/>
      <c r="O174" s="1547"/>
      <c r="P174" s="1547"/>
      <c r="AH174" s="1554">
        <v>0</v>
      </c>
    </row>
    <row r="175" spans="1:34" s="1558" customFormat="1" ht="18.75" hidden="1" customHeight="1">
      <c r="A175" s="1700" t="s">
        <v>244</v>
      </c>
      <c r="B175" s="1700" t="s">
        <v>245</v>
      </c>
      <c r="C175" s="305"/>
      <c r="D175" s="2723"/>
      <c r="E175" s="2461"/>
      <c r="F175" s="2616" t="str">
        <f>INDEX(PT_DIFFERENTIATION_VTAR,MATCH(A175,PT_DIFFERENTIATION_VTAR_ID,0))</f>
        <v>Тариф на питьевую воду (питьевое водоснабжение)</v>
      </c>
      <c r="G175" s="2692" t="str">
        <f>INDEX(PT_DIFFERENTIATION_NTAR,MATCH(B175,PT_DIFFERENTIATION_NTAR_ID,0))</f>
        <v/>
      </c>
      <c r="H175" s="1779"/>
      <c r="I175" s="1660"/>
      <c r="J175" s="1694"/>
      <c r="K175" s="1698"/>
      <c r="L175" s="1779" t="s">
        <v>325</v>
      </c>
      <c r="M175" s="278"/>
      <c r="N175" s="271"/>
      <c r="O175" s="1547"/>
      <c r="P175" s="1547"/>
      <c r="AH175" s="1554">
        <v>0</v>
      </c>
    </row>
    <row r="176" spans="1:34" s="1558" customFormat="1" ht="18.75" hidden="1" customHeight="1">
      <c r="A176" s="1700"/>
      <c r="B176" s="1700"/>
      <c r="C176" s="305" t="s">
        <v>1352</v>
      </c>
      <c r="D176" s="2723"/>
      <c r="E176" s="2461"/>
      <c r="F176" s="2616"/>
      <c r="G176" s="2692"/>
      <c r="H176" s="1423"/>
      <c r="I176" s="587" t="s">
        <v>1351</v>
      </c>
      <c r="J176" s="507"/>
      <c r="K176" s="1423"/>
      <c r="L176" s="151"/>
      <c r="M176" s="278"/>
      <c r="N176" s="271"/>
      <c r="O176" s="1547"/>
      <c r="P176" s="1547"/>
      <c r="AH176" s="1554">
        <v>0</v>
      </c>
    </row>
    <row r="177" spans="1:34" s="1558" customFormat="1" ht="0.75" hidden="1" customHeight="1">
      <c r="A177" s="1700"/>
      <c r="B177" s="1700"/>
      <c r="C177" s="305" t="s">
        <v>1359</v>
      </c>
      <c r="D177" s="2723"/>
      <c r="E177" s="2461"/>
      <c r="F177" s="2616"/>
      <c r="G177" s="336"/>
      <c r="H177" s="1423"/>
      <c r="I177" s="587"/>
      <c r="J177" s="507"/>
      <c r="K177" s="1423"/>
      <c r="L177" s="151"/>
      <c r="M177" s="278"/>
      <c r="N177" s="271"/>
      <c r="O177" s="1547"/>
      <c r="P177" s="1547"/>
      <c r="AH177" s="1554">
        <v>0</v>
      </c>
    </row>
    <row r="178" spans="1:34" s="1558" customFormat="1" ht="18.75" hidden="1" customHeight="1">
      <c r="A178" s="1700" t="s">
        <v>249</v>
      </c>
      <c r="B178" s="1700" t="s">
        <v>250</v>
      </c>
      <c r="C178" s="305"/>
      <c r="D178" s="2723"/>
      <c r="E178" s="2461"/>
      <c r="F178" s="2616" t="str">
        <f>INDEX(PT_DIFFERENTIATION_VTAR,MATCH(A178,PT_DIFFERENTIATION_VTAR_ID,0))</f>
        <v>Тариф на техническую воду</v>
      </c>
      <c r="G178" s="2692" t="str">
        <f>INDEX(PT_DIFFERENTIATION_NTAR,MATCH(B178,PT_DIFFERENTIATION_NTAR_ID,0))</f>
        <v/>
      </c>
      <c r="H178" s="1779"/>
      <c r="I178" s="1660"/>
      <c r="J178" s="1694"/>
      <c r="K178" s="1698"/>
      <c r="L178" s="1779" t="s">
        <v>325</v>
      </c>
      <c r="M178" s="278"/>
      <c r="N178" s="271"/>
      <c r="O178" s="1547"/>
      <c r="P178" s="1547"/>
      <c r="AH178" s="1554">
        <v>0</v>
      </c>
    </row>
    <row r="179" spans="1:34" s="1558" customFormat="1" ht="18.75" hidden="1" customHeight="1">
      <c r="A179" s="1700"/>
      <c r="B179" s="1700"/>
      <c r="C179" s="305" t="s">
        <v>1352</v>
      </c>
      <c r="D179" s="2723"/>
      <c r="E179" s="2461"/>
      <c r="F179" s="2616"/>
      <c r="G179" s="2692"/>
      <c r="H179" s="1423"/>
      <c r="I179" s="587" t="s">
        <v>1351</v>
      </c>
      <c r="J179" s="507"/>
      <c r="K179" s="1423"/>
      <c r="L179" s="151"/>
      <c r="M179" s="278"/>
      <c r="N179" s="271"/>
      <c r="O179" s="1547"/>
      <c r="P179" s="1547"/>
      <c r="AH179" s="1554">
        <v>0</v>
      </c>
    </row>
    <row r="180" spans="1:34" s="1558" customFormat="1" ht="0.75" hidden="1" customHeight="1">
      <c r="A180" s="1700"/>
      <c r="B180" s="1700"/>
      <c r="C180" s="305" t="s">
        <v>1359</v>
      </c>
      <c r="D180" s="2723"/>
      <c r="E180" s="2461"/>
      <c r="F180" s="2616"/>
      <c r="G180" s="336"/>
      <c r="H180" s="1423"/>
      <c r="I180" s="587"/>
      <c r="J180" s="507"/>
      <c r="K180" s="1423"/>
      <c r="L180" s="151"/>
      <c r="M180" s="278"/>
      <c r="N180" s="271"/>
      <c r="O180" s="1547"/>
      <c r="P180" s="1547"/>
      <c r="AH180" s="1554">
        <v>0</v>
      </c>
    </row>
    <row r="181" spans="1:34" s="1558" customFormat="1" ht="18.75" hidden="1" customHeight="1">
      <c r="A181" s="1700" t="s">
        <v>254</v>
      </c>
      <c r="B181" s="1700" t="s">
        <v>255</v>
      </c>
      <c r="C181" s="305"/>
      <c r="D181" s="2723"/>
      <c r="E181" s="2461"/>
      <c r="F181" s="2616" t="str">
        <f>INDEX(PT_DIFFERENTIATION_VTAR,MATCH(A181,PT_DIFFERENTIATION_VTAR_ID,0))</f>
        <v>Тариф на транспортировку воды</v>
      </c>
      <c r="G181" s="2692" t="str">
        <f>INDEX(PT_DIFFERENTIATION_NTAR,MATCH(B181,PT_DIFFERENTIATION_NTAR_ID,0))</f>
        <v/>
      </c>
      <c r="H181" s="1779"/>
      <c r="I181" s="1660"/>
      <c r="J181" s="1694"/>
      <c r="K181" s="1698"/>
      <c r="L181" s="1779" t="s">
        <v>325</v>
      </c>
      <c r="M181" s="278"/>
      <c r="N181" s="271"/>
      <c r="O181" s="1547"/>
      <c r="P181" s="1547"/>
      <c r="AH181" s="1554">
        <v>0</v>
      </c>
    </row>
    <row r="182" spans="1:34" s="1558" customFormat="1" ht="18.75" hidden="1" customHeight="1">
      <c r="A182" s="1700"/>
      <c r="B182" s="1700"/>
      <c r="C182" s="305" t="s">
        <v>1352</v>
      </c>
      <c r="D182" s="2723"/>
      <c r="E182" s="2461"/>
      <c r="F182" s="2616"/>
      <c r="G182" s="2692"/>
      <c r="H182" s="1423"/>
      <c r="I182" s="587" t="s">
        <v>1351</v>
      </c>
      <c r="J182" s="507"/>
      <c r="K182" s="1423"/>
      <c r="L182" s="151"/>
      <c r="M182" s="278"/>
      <c r="N182" s="271"/>
      <c r="O182" s="1547"/>
      <c r="P182" s="1547"/>
      <c r="AH182" s="1554">
        <v>0</v>
      </c>
    </row>
    <row r="183" spans="1:34" s="1558" customFormat="1" ht="0.75" hidden="1" customHeight="1">
      <c r="A183" s="1700"/>
      <c r="B183" s="1700"/>
      <c r="C183" s="305" t="s">
        <v>1359</v>
      </c>
      <c r="D183" s="2723"/>
      <c r="E183" s="2461"/>
      <c r="F183" s="2616"/>
      <c r="G183" s="336"/>
      <c r="H183" s="1423"/>
      <c r="I183" s="587"/>
      <c r="J183" s="507"/>
      <c r="K183" s="1423"/>
      <c r="L183" s="151"/>
      <c r="M183" s="278"/>
      <c r="N183" s="271"/>
      <c r="O183" s="1547"/>
      <c r="P183" s="1547"/>
      <c r="AH183" s="1554">
        <v>0</v>
      </c>
    </row>
    <row r="184" spans="1:34" s="1558" customFormat="1" ht="18.75" hidden="1" customHeight="1">
      <c r="A184" s="1700" t="s">
        <v>259</v>
      </c>
      <c r="B184" s="1700" t="s">
        <v>260</v>
      </c>
      <c r="C184" s="305"/>
      <c r="D184" s="2723"/>
      <c r="E184" s="2461"/>
      <c r="F184" s="2616" t="str">
        <f>INDEX(PT_DIFFERENTIATION_VTAR,MATCH(A184,PT_DIFFERENTIATION_VTAR_ID,0))</f>
        <v>Тариф на подвоз воды</v>
      </c>
      <c r="G184" s="2692" t="str">
        <f>INDEX(PT_DIFFERENTIATION_NTAR,MATCH(B184,PT_DIFFERENTIATION_NTAR_ID,0))</f>
        <v/>
      </c>
      <c r="H184" s="1779"/>
      <c r="I184" s="1660"/>
      <c r="J184" s="1694"/>
      <c r="K184" s="1698"/>
      <c r="L184" s="1779" t="s">
        <v>325</v>
      </c>
      <c r="M184" s="278"/>
      <c r="N184" s="271"/>
      <c r="O184" s="1547"/>
      <c r="P184" s="1547"/>
      <c r="AH184" s="1554">
        <v>0</v>
      </c>
    </row>
    <row r="185" spans="1:34" s="1558" customFormat="1" ht="18.75" hidden="1" customHeight="1">
      <c r="A185" s="1700"/>
      <c r="B185" s="1700"/>
      <c r="C185" s="305" t="s">
        <v>1352</v>
      </c>
      <c r="D185" s="2723"/>
      <c r="E185" s="2461"/>
      <c r="F185" s="2616"/>
      <c r="G185" s="2692"/>
      <c r="H185" s="1423"/>
      <c r="I185" s="587" t="s">
        <v>1351</v>
      </c>
      <c r="J185" s="507"/>
      <c r="K185" s="1423"/>
      <c r="L185" s="151"/>
      <c r="M185" s="278"/>
      <c r="N185" s="271"/>
      <c r="O185" s="1547"/>
      <c r="P185" s="1547"/>
      <c r="AH185" s="1554">
        <v>0</v>
      </c>
    </row>
    <row r="186" spans="1:34" s="1558" customFormat="1" ht="0.75" hidden="1" customHeight="1">
      <c r="A186" s="1700"/>
      <c r="B186" s="1700"/>
      <c r="C186" s="305" t="s">
        <v>1359</v>
      </c>
      <c r="D186" s="2723"/>
      <c r="E186" s="2461"/>
      <c r="F186" s="2616"/>
      <c r="G186" s="336"/>
      <c r="H186" s="1423"/>
      <c r="I186" s="587"/>
      <c r="J186" s="507"/>
      <c r="K186" s="1423"/>
      <c r="L186" s="151"/>
      <c r="M186" s="278"/>
      <c r="N186" s="271"/>
      <c r="O186" s="1547"/>
      <c r="P186" s="1547"/>
      <c r="AH186" s="1554">
        <v>0</v>
      </c>
    </row>
    <row r="187" spans="1:34" s="1558" customFormat="1" ht="18.75" hidden="1" customHeight="1">
      <c r="A187" s="1700" t="s">
        <v>264</v>
      </c>
      <c r="B187" s="1700" t="s">
        <v>265</v>
      </c>
      <c r="C187" s="305"/>
      <c r="D187" s="2723"/>
      <c r="E187" s="2461"/>
      <c r="F187" s="261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692" t="str">
        <f>INDEX(PT_DIFFERENTIATION_NTAR,MATCH(B187,PT_DIFFERENTIATION_NTAR_ID,0))</f>
        <v/>
      </c>
      <c r="H187" s="1779"/>
      <c r="I187" s="1660"/>
      <c r="J187" s="1694"/>
      <c r="K187" s="1698"/>
      <c r="L187" s="1779" t="s">
        <v>325</v>
      </c>
      <c r="M187" s="278"/>
      <c r="N187" s="271"/>
      <c r="O187" s="1547"/>
      <c r="P187" s="1547"/>
      <c r="AH187" s="1554">
        <v>0</v>
      </c>
    </row>
    <row r="188" spans="1:34" s="1558" customFormat="1" ht="18.75" hidden="1" customHeight="1">
      <c r="A188" s="1700"/>
      <c r="B188" s="1700"/>
      <c r="C188" s="305" t="s">
        <v>1352</v>
      </c>
      <c r="D188" s="2723"/>
      <c r="E188" s="2461"/>
      <c r="F188" s="2616"/>
      <c r="G188" s="2692"/>
      <c r="H188" s="1423"/>
      <c r="I188" s="587" t="s">
        <v>1351</v>
      </c>
      <c r="J188" s="507"/>
      <c r="K188" s="1423"/>
      <c r="L188" s="151"/>
      <c r="M188" s="278"/>
      <c r="N188" s="271"/>
      <c r="O188" s="1547"/>
      <c r="P188" s="1547"/>
      <c r="AH188" s="1554">
        <v>0</v>
      </c>
    </row>
    <row r="189" spans="1:34" s="1558" customFormat="1" ht="0.75" hidden="1" customHeight="1">
      <c r="A189" s="1700"/>
      <c r="B189" s="1700"/>
      <c r="C189" s="305" t="s">
        <v>1359</v>
      </c>
      <c r="D189" s="2723"/>
      <c r="E189" s="2461"/>
      <c r="F189" s="2616"/>
      <c r="G189" s="336"/>
      <c r="H189" s="1423"/>
      <c r="I189" s="587"/>
      <c r="J189" s="507"/>
      <c r="K189" s="1423"/>
      <c r="L189" s="151"/>
      <c r="M189" s="278"/>
      <c r="N189" s="271"/>
      <c r="O189" s="1547"/>
      <c r="P189" s="1547"/>
      <c r="AH189" s="1554">
        <v>0</v>
      </c>
    </row>
    <row r="190" spans="1:34" s="1558" customFormat="1" ht="18.75" hidden="1" customHeight="1">
      <c r="A190" s="1700" t="s">
        <v>269</v>
      </c>
      <c r="B190" s="1700" t="s">
        <v>270</v>
      </c>
      <c r="C190" s="305"/>
      <c r="D190" s="2723"/>
      <c r="E190" s="2461"/>
      <c r="F190" s="2616" t="str">
        <f>INDEX(PT_DIFFERENTIATION_VTAR,MATCH(A190,PT_DIFFERENTIATION_VTAR_ID,0))</f>
        <v>Тариф на горячую воду (горячее водоснабжение)</v>
      </c>
      <c r="G190" s="2692" t="str">
        <f>INDEX(PT_DIFFERENTIATION_NTAR,MATCH(B190,PT_DIFFERENTIATION_NTAR_ID,0))</f>
        <v/>
      </c>
      <c r="H190" s="1779"/>
      <c r="I190" s="1660"/>
      <c r="J190" s="1694"/>
      <c r="K190" s="1698"/>
      <c r="L190" s="1779" t="s">
        <v>325</v>
      </c>
      <c r="M190" s="278"/>
      <c r="N190" s="271"/>
      <c r="O190" s="1547"/>
      <c r="P190" s="1547"/>
      <c r="AH190" s="1554">
        <v>0</v>
      </c>
    </row>
    <row r="191" spans="1:34" s="1558" customFormat="1" ht="18.75" hidden="1" customHeight="1">
      <c r="A191" s="1700"/>
      <c r="B191" s="1700"/>
      <c r="C191" s="305" t="s">
        <v>1352</v>
      </c>
      <c r="D191" s="2723"/>
      <c r="E191" s="2461"/>
      <c r="F191" s="2616"/>
      <c r="G191" s="2692"/>
      <c r="H191" s="1423"/>
      <c r="I191" s="587" t="s">
        <v>1351</v>
      </c>
      <c r="J191" s="507"/>
      <c r="K191" s="1423"/>
      <c r="L191" s="151"/>
      <c r="M191" s="278"/>
      <c r="N191" s="271"/>
      <c r="O191" s="1547"/>
      <c r="P191" s="1547"/>
      <c r="AH191" s="1554">
        <v>0</v>
      </c>
    </row>
    <row r="192" spans="1:34" s="1558" customFormat="1" ht="0.75" hidden="1" customHeight="1">
      <c r="A192" s="1700"/>
      <c r="B192" s="1700"/>
      <c r="C192" s="305" t="s">
        <v>1359</v>
      </c>
      <c r="D192" s="2723"/>
      <c r="E192" s="2461"/>
      <c r="F192" s="2616"/>
      <c r="G192" s="336"/>
      <c r="H192" s="1423"/>
      <c r="I192" s="587"/>
      <c r="J192" s="507"/>
      <c r="K192" s="1423"/>
      <c r="L192" s="151"/>
      <c r="M192" s="278"/>
      <c r="N192" s="271"/>
      <c r="O192" s="1547"/>
      <c r="P192" s="1547"/>
      <c r="AH192" s="1554">
        <v>0</v>
      </c>
    </row>
    <row r="193" spans="1:34" s="1558" customFormat="1" ht="18.75" hidden="1" customHeight="1">
      <c r="A193" s="1700" t="s">
        <v>274</v>
      </c>
      <c r="B193" s="1700" t="s">
        <v>275</v>
      </c>
      <c r="C193" s="305"/>
      <c r="D193" s="2723"/>
      <c r="E193" s="2461"/>
      <c r="F193" s="2616" t="str">
        <f>INDEX(PT_DIFFERENTIATION_VTAR,MATCH(A193,PT_DIFFERENTIATION_VTAR_ID,0))</f>
        <v>Тариф на транспортировку горячей воды</v>
      </c>
      <c r="G193" s="2692" t="str">
        <f>INDEX(PT_DIFFERENTIATION_NTAR,MATCH(B193,PT_DIFFERENTIATION_NTAR_ID,0))</f>
        <v/>
      </c>
      <c r="H193" s="1779"/>
      <c r="I193" s="1660"/>
      <c r="J193" s="1694"/>
      <c r="K193" s="1698"/>
      <c r="L193" s="1779" t="s">
        <v>325</v>
      </c>
      <c r="M193" s="278"/>
      <c r="N193" s="271"/>
      <c r="O193" s="1547"/>
      <c r="P193" s="1547"/>
      <c r="AH193" s="1554">
        <v>0</v>
      </c>
    </row>
    <row r="194" spans="1:34" s="1558" customFormat="1" ht="18.75" hidden="1" customHeight="1">
      <c r="A194" s="1700"/>
      <c r="B194" s="1700"/>
      <c r="C194" s="305" t="s">
        <v>1352</v>
      </c>
      <c r="D194" s="2723"/>
      <c r="E194" s="2461"/>
      <c r="F194" s="2616"/>
      <c r="G194" s="2692"/>
      <c r="H194" s="1423"/>
      <c r="I194" s="587" t="s">
        <v>1351</v>
      </c>
      <c r="J194" s="507"/>
      <c r="K194" s="1423"/>
      <c r="L194" s="151"/>
      <c r="M194" s="278"/>
      <c r="N194" s="271"/>
      <c r="O194" s="1547"/>
      <c r="P194" s="1547"/>
      <c r="AH194" s="1554">
        <v>0</v>
      </c>
    </row>
    <row r="195" spans="1:34" s="1558" customFormat="1" ht="0.75" hidden="1" customHeight="1">
      <c r="A195" s="1700"/>
      <c r="B195" s="1700"/>
      <c r="C195" s="305" t="s">
        <v>1359</v>
      </c>
      <c r="D195" s="2723"/>
      <c r="E195" s="2461"/>
      <c r="F195" s="2616"/>
      <c r="G195" s="336"/>
      <c r="H195" s="1423"/>
      <c r="I195" s="587"/>
      <c r="J195" s="507"/>
      <c r="K195" s="1423"/>
      <c r="L195" s="151"/>
      <c r="M195" s="278"/>
      <c r="N195" s="271"/>
      <c r="O195" s="1547"/>
      <c r="P195" s="1547"/>
      <c r="AH195" s="1554">
        <v>0</v>
      </c>
    </row>
    <row r="196" spans="1:34" s="1558" customFormat="1" ht="18.75" hidden="1" customHeight="1">
      <c r="A196" s="1700" t="s">
        <v>279</v>
      </c>
      <c r="B196" s="1700" t="s">
        <v>280</v>
      </c>
      <c r="C196" s="305"/>
      <c r="D196" s="2723"/>
      <c r="E196" s="2461"/>
      <c r="F196" s="261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692" t="str">
        <f>INDEX(PT_DIFFERENTIATION_NTAR,MATCH(B196,PT_DIFFERENTIATION_NTAR_ID,0))</f>
        <v/>
      </c>
      <c r="H196" s="1779"/>
      <c r="I196" s="1660"/>
      <c r="J196" s="1694"/>
      <c r="K196" s="1698"/>
      <c r="L196" s="1779" t="s">
        <v>325</v>
      </c>
      <c r="M196" s="278"/>
      <c r="N196" s="271"/>
      <c r="O196" s="1547"/>
      <c r="P196" s="1547"/>
      <c r="AH196" s="1554">
        <v>0</v>
      </c>
    </row>
    <row r="197" spans="1:34" s="1558" customFormat="1" ht="18.75" hidden="1" customHeight="1">
      <c r="A197" s="1700"/>
      <c r="B197" s="1700"/>
      <c r="C197" s="305" t="s">
        <v>1352</v>
      </c>
      <c r="D197" s="2723"/>
      <c r="E197" s="2461"/>
      <c r="F197" s="2616"/>
      <c r="G197" s="2692"/>
      <c r="H197" s="1423"/>
      <c r="I197" s="587" t="s">
        <v>1351</v>
      </c>
      <c r="J197" s="507"/>
      <c r="K197" s="1423"/>
      <c r="L197" s="151"/>
      <c r="M197" s="278"/>
      <c r="N197" s="271"/>
      <c r="O197" s="1547"/>
      <c r="P197" s="1547"/>
      <c r="AH197" s="1554">
        <v>0</v>
      </c>
    </row>
    <row r="198" spans="1:34" s="1558" customFormat="1" ht="0.75" hidden="1" customHeight="1">
      <c r="A198" s="1700"/>
      <c r="B198" s="1700"/>
      <c r="C198" s="305" t="s">
        <v>1359</v>
      </c>
      <c r="D198" s="2723"/>
      <c r="E198" s="2461"/>
      <c r="F198" s="2616"/>
      <c r="G198" s="336"/>
      <c r="H198" s="1423"/>
      <c r="I198" s="587"/>
      <c r="J198" s="507"/>
      <c r="K198" s="1423"/>
      <c r="L198" s="151"/>
      <c r="M198" s="278"/>
      <c r="N198" s="271"/>
      <c r="O198" s="1547"/>
      <c r="P198" s="1547"/>
      <c r="AH198" s="1554">
        <v>0</v>
      </c>
    </row>
    <row r="199" spans="1:34" s="1558" customFormat="1" ht="18.75" hidden="1" customHeight="1">
      <c r="A199" s="1700" t="s">
        <v>284</v>
      </c>
      <c r="B199" s="1700" t="s">
        <v>285</v>
      </c>
      <c r="C199" s="305"/>
      <c r="D199" s="2723"/>
      <c r="E199" s="2461"/>
      <c r="F199" s="2616" t="str">
        <f>INDEX(PT_DIFFERENTIATION_VTAR,MATCH(A199,PT_DIFFERENTIATION_VTAR_ID,0))</f>
        <v>Тариф на водоотведение</v>
      </c>
      <c r="G199" s="2692" t="str">
        <f>INDEX(PT_DIFFERENTIATION_NTAR,MATCH(B199,PT_DIFFERENTIATION_NTAR_ID,0))</f>
        <v/>
      </c>
      <c r="H199" s="1779"/>
      <c r="I199" s="1660"/>
      <c r="J199" s="1694"/>
      <c r="K199" s="1698"/>
      <c r="L199" s="1779" t="s">
        <v>325</v>
      </c>
      <c r="M199" s="278"/>
      <c r="N199" s="271"/>
      <c r="O199" s="1547"/>
      <c r="P199" s="1547"/>
      <c r="AH199" s="1554">
        <v>0</v>
      </c>
    </row>
    <row r="200" spans="1:34" s="1558" customFormat="1" ht="18.75" hidden="1" customHeight="1">
      <c r="A200" s="1700"/>
      <c r="B200" s="1700"/>
      <c r="C200" s="305" t="s">
        <v>1352</v>
      </c>
      <c r="D200" s="2723"/>
      <c r="E200" s="2461"/>
      <c r="F200" s="2616"/>
      <c r="G200" s="2692"/>
      <c r="H200" s="1423"/>
      <c r="I200" s="587" t="s">
        <v>1351</v>
      </c>
      <c r="J200" s="507"/>
      <c r="K200" s="1423"/>
      <c r="L200" s="151"/>
      <c r="M200" s="278"/>
      <c r="N200" s="271"/>
      <c r="O200" s="1547"/>
      <c r="P200" s="1547"/>
      <c r="AH200" s="1554">
        <v>0</v>
      </c>
    </row>
    <row r="201" spans="1:34" s="1558" customFormat="1" ht="0.75" hidden="1" customHeight="1">
      <c r="A201" s="1700"/>
      <c r="B201" s="1700"/>
      <c r="C201" s="305" t="s">
        <v>1359</v>
      </c>
      <c r="D201" s="2723"/>
      <c r="E201" s="2461"/>
      <c r="F201" s="2616"/>
      <c r="G201" s="336"/>
      <c r="H201" s="1423"/>
      <c r="I201" s="587"/>
      <c r="J201" s="507"/>
      <c r="K201" s="1423"/>
      <c r="L201" s="151"/>
      <c r="M201" s="278"/>
      <c r="N201" s="271"/>
      <c r="O201" s="1547"/>
      <c r="P201" s="1547"/>
      <c r="AH201" s="1554">
        <v>0</v>
      </c>
    </row>
    <row r="202" spans="1:34" s="1558" customFormat="1" ht="18.75" hidden="1" customHeight="1">
      <c r="A202" s="1700" t="s">
        <v>289</v>
      </c>
      <c r="B202" s="1700" t="s">
        <v>290</v>
      </c>
      <c r="C202" s="305"/>
      <c r="D202" s="2723"/>
      <c r="E202" s="2461"/>
      <c r="F202" s="2616" t="str">
        <f>INDEX(PT_DIFFERENTIATION_VTAR,MATCH(A202,PT_DIFFERENTIATION_VTAR_ID,0))</f>
        <v>Тариф на транспортировку сточных вод</v>
      </c>
      <c r="G202" s="2692" t="str">
        <f>INDEX(PT_DIFFERENTIATION_NTAR,MATCH(B202,PT_DIFFERENTIATION_NTAR_ID,0))</f>
        <v/>
      </c>
      <c r="H202" s="1779"/>
      <c r="I202" s="1660"/>
      <c r="J202" s="1694"/>
      <c r="K202" s="1698"/>
      <c r="L202" s="1779" t="s">
        <v>325</v>
      </c>
      <c r="M202" s="278"/>
      <c r="N202" s="271"/>
      <c r="O202" s="1547"/>
      <c r="P202" s="1547"/>
      <c r="AH202" s="1554">
        <v>0</v>
      </c>
    </row>
    <row r="203" spans="1:34" s="1558" customFormat="1" ht="18.75" hidden="1" customHeight="1">
      <c r="A203" s="1700"/>
      <c r="B203" s="1700"/>
      <c r="C203" s="305" t="s">
        <v>1352</v>
      </c>
      <c r="D203" s="2723"/>
      <c r="E203" s="2461"/>
      <c r="F203" s="2616"/>
      <c r="G203" s="2692"/>
      <c r="H203" s="1423"/>
      <c r="I203" s="587" t="s">
        <v>1351</v>
      </c>
      <c r="J203" s="507"/>
      <c r="K203" s="1423"/>
      <c r="L203" s="151"/>
      <c r="M203" s="278"/>
      <c r="N203" s="271"/>
      <c r="O203" s="1547"/>
      <c r="P203" s="1547"/>
      <c r="AH203" s="1554">
        <v>0</v>
      </c>
    </row>
    <row r="204" spans="1:34" s="1558" customFormat="1" ht="0.75" hidden="1" customHeight="1">
      <c r="A204" s="1700"/>
      <c r="B204" s="1700"/>
      <c r="C204" s="305" t="s">
        <v>1359</v>
      </c>
      <c r="D204" s="2723"/>
      <c r="E204" s="2461"/>
      <c r="F204" s="2616"/>
      <c r="G204" s="336"/>
      <c r="H204" s="1423"/>
      <c r="I204" s="587"/>
      <c r="J204" s="507"/>
      <c r="K204" s="1423"/>
      <c r="L204" s="151"/>
      <c r="M204" s="278"/>
      <c r="N204" s="271"/>
      <c r="O204" s="1547"/>
      <c r="P204" s="1547"/>
      <c r="AH204" s="1554">
        <v>0</v>
      </c>
    </row>
    <row r="205" spans="1:34" s="1558" customFormat="1" ht="18.75" hidden="1" customHeight="1">
      <c r="A205" s="1700" t="s">
        <v>294</v>
      </c>
      <c r="B205" s="1700" t="s">
        <v>295</v>
      </c>
      <c r="C205" s="305"/>
      <c r="D205" s="2723"/>
      <c r="E205" s="2461"/>
      <c r="F205" s="2616" t="str">
        <f>INDEX(PT_DIFFERENTIATION_VTAR,MATCH(A205,PT_DIFFERENTIATION_VTAR_ID,0))</f>
        <v>Тариф на подключение (технологическое присоединение) к централизованной системе водоотведения</v>
      </c>
      <c r="G205" s="2692" t="str">
        <f>INDEX(PT_DIFFERENTIATION_NTAR,MATCH(B205,PT_DIFFERENTIATION_NTAR_ID,0))</f>
        <v/>
      </c>
      <c r="H205" s="1779"/>
      <c r="I205" s="1660"/>
      <c r="J205" s="1694"/>
      <c r="K205" s="1698"/>
      <c r="L205" s="1779" t="s">
        <v>325</v>
      </c>
      <c r="M205" s="278"/>
      <c r="N205" s="271"/>
      <c r="O205" s="1547"/>
      <c r="P205" s="1547"/>
      <c r="AH205" s="1554">
        <v>0</v>
      </c>
    </row>
    <row r="206" spans="1:34" s="1558" customFormat="1" ht="18.75" hidden="1" customHeight="1">
      <c r="A206" s="1700"/>
      <c r="B206" s="1700"/>
      <c r="C206" s="305" t="s">
        <v>1352</v>
      </c>
      <c r="D206" s="2723"/>
      <c r="E206" s="2461"/>
      <c r="F206" s="2616"/>
      <c r="G206" s="2692"/>
      <c r="H206" s="1423"/>
      <c r="I206" s="587" t="s">
        <v>1351</v>
      </c>
      <c r="J206" s="507"/>
      <c r="K206" s="1423"/>
      <c r="L206" s="151"/>
      <c r="M206" s="278"/>
      <c r="N206" s="271"/>
      <c r="O206" s="1547"/>
      <c r="P206" s="1547"/>
      <c r="AH206" s="1554">
        <v>0</v>
      </c>
    </row>
    <row r="207" spans="1:34" s="1558" customFormat="1" ht="1.1499999999999999" customHeight="1">
      <c r="A207" s="1700"/>
      <c r="B207" s="1700"/>
      <c r="C207" s="305" t="s">
        <v>1359</v>
      </c>
      <c r="D207" s="2723"/>
      <c r="E207" s="2461"/>
      <c r="F207" s="2616"/>
      <c r="G207" s="336"/>
      <c r="H207" s="1423"/>
      <c r="I207" s="587"/>
      <c r="J207" s="507"/>
      <c r="K207" s="1423"/>
      <c r="L207" s="151"/>
      <c r="M207" s="278"/>
      <c r="N207" s="271"/>
      <c r="O207" s="1547"/>
      <c r="P207" s="1547"/>
      <c r="AH207" s="1554">
        <v>1</v>
      </c>
    </row>
    <row r="208" spans="1:34" ht="27.4" customHeight="1">
      <c r="A208" s="1700"/>
      <c r="B208" s="1700"/>
      <c r="D208" s="312"/>
      <c r="E208" s="84" t="s">
        <v>123</v>
      </c>
      <c r="F208" s="272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722"/>
      <c r="H208" s="2722"/>
      <c r="I208" s="2722"/>
      <c r="J208" s="2722"/>
      <c r="K208" s="2722"/>
      <c r="L208" s="2722"/>
      <c r="M208" s="234"/>
      <c r="N208" s="271"/>
      <c r="AH208" s="310">
        <v>26</v>
      </c>
    </row>
    <row r="209" spans="1:34" s="1558" customFormat="1" ht="60.75" hidden="1" customHeight="1">
      <c r="A209" s="1700" t="s">
        <v>176</v>
      </c>
      <c r="B209" s="1700" t="s">
        <v>177</v>
      </c>
      <c r="C209" s="305"/>
      <c r="D209" s="2723"/>
      <c r="E209" s="2461"/>
      <c r="F209" s="261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692" t="str">
        <f>INDEX(PT_DIFFERENTIATION_NTAR,MATCH(B209,PT_DIFFERENTIATION_NTAR_ID,0))</f>
        <v/>
      </c>
      <c r="H209" s="1779"/>
      <c r="I209" s="1660"/>
      <c r="J209" s="1694"/>
      <c r="K209" s="1698"/>
      <c r="L209" s="1779" t="s">
        <v>325</v>
      </c>
      <c r="M209" s="242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1"/>
      <c r="O209" s="1547"/>
      <c r="P209" s="1547"/>
      <c r="AH209" s="1554">
        <v>0</v>
      </c>
    </row>
    <row r="210" spans="1:34" s="1558" customFormat="1" ht="18.75" hidden="1" customHeight="1">
      <c r="A210" s="1700"/>
      <c r="B210" s="1700"/>
      <c r="C210" s="305" t="s">
        <v>1352</v>
      </c>
      <c r="D210" s="2723"/>
      <c r="E210" s="2461"/>
      <c r="F210" s="2616"/>
      <c r="G210" s="2692"/>
      <c r="H210" s="1423"/>
      <c r="I210" s="587" t="s">
        <v>1351</v>
      </c>
      <c r="J210" s="507"/>
      <c r="K210" s="1423"/>
      <c r="L210" s="151"/>
      <c r="M210" s="2430"/>
      <c r="N210" s="271"/>
      <c r="O210" s="1547"/>
      <c r="P210" s="1547"/>
      <c r="AH210" s="1554">
        <v>0</v>
      </c>
    </row>
    <row r="211" spans="1:34" s="1558" customFormat="1" ht="0.75" hidden="1" customHeight="1">
      <c r="A211" s="1700"/>
      <c r="B211" s="1700"/>
      <c r="C211" s="305" t="s">
        <v>1359</v>
      </c>
      <c r="D211" s="2723"/>
      <c r="E211" s="2461"/>
      <c r="F211" s="2616"/>
      <c r="G211" s="336"/>
      <c r="H211" s="1423"/>
      <c r="I211" s="587"/>
      <c r="J211" s="507"/>
      <c r="K211" s="1423"/>
      <c r="L211" s="151"/>
      <c r="M211" s="2430"/>
      <c r="N211" s="271"/>
      <c r="O211" s="1547"/>
      <c r="P211" s="1547"/>
      <c r="AH211" s="1554">
        <v>0</v>
      </c>
    </row>
    <row r="212" spans="1:34" s="1558" customFormat="1" ht="45" hidden="1" customHeight="1">
      <c r="A212" s="1700" t="s">
        <v>181</v>
      </c>
      <c r="B212" s="1700" t="s">
        <v>182</v>
      </c>
      <c r="C212" s="305"/>
      <c r="D212" s="2723"/>
      <c r="E212" s="2461"/>
      <c r="F212" s="2616" t="str">
        <f>INDEX(PT_DIFFERENTIATION_VTAR,MATCH(A212,PT_DIFFERENTIATION_VTAR_ID,0))</f>
        <v/>
      </c>
      <c r="G212" s="2692" t="str">
        <f>INDEX(PT_DIFFERENTIATION_NTAR,MATCH(B212,PT_DIFFERENTIATION_NTAR_ID,0))</f>
        <v/>
      </c>
      <c r="H212" s="1779"/>
      <c r="I212" s="1660"/>
      <c r="J212" s="1694"/>
      <c r="K212" s="1698"/>
      <c r="L212" s="1779" t="s">
        <v>325</v>
      </c>
      <c r="M212" s="2431"/>
      <c r="N212" s="271"/>
      <c r="O212" s="1547"/>
      <c r="P212" s="1547"/>
      <c r="AH212" s="1554">
        <v>0</v>
      </c>
    </row>
    <row r="213" spans="1:34" s="1558" customFormat="1" ht="18.75" hidden="1" customHeight="1">
      <c r="A213" s="1700"/>
      <c r="B213" s="1700"/>
      <c r="C213" s="305" t="s">
        <v>1352</v>
      </c>
      <c r="D213" s="2723"/>
      <c r="E213" s="2461"/>
      <c r="F213" s="2616"/>
      <c r="G213" s="2692"/>
      <c r="H213" s="1423"/>
      <c r="I213" s="587" t="s">
        <v>1351</v>
      </c>
      <c r="J213" s="507"/>
      <c r="K213" s="1423"/>
      <c r="L213" s="151"/>
      <c r="M213" s="1778"/>
      <c r="N213" s="271"/>
      <c r="O213" s="1547"/>
      <c r="P213" s="1547"/>
      <c r="AH213" s="1554">
        <v>0</v>
      </c>
    </row>
    <row r="214" spans="1:34" s="1558" customFormat="1" ht="0.75" hidden="1" customHeight="1">
      <c r="A214" s="1700"/>
      <c r="B214" s="1700"/>
      <c r="C214" s="305" t="s">
        <v>1359</v>
      </c>
      <c r="D214" s="2723"/>
      <c r="E214" s="2461"/>
      <c r="F214" s="2616"/>
      <c r="G214" s="336"/>
      <c r="H214" s="1423"/>
      <c r="I214" s="587"/>
      <c r="J214" s="507"/>
      <c r="K214" s="1423"/>
      <c r="L214" s="151"/>
      <c r="M214" s="278"/>
      <c r="N214" s="271"/>
      <c r="O214" s="1547"/>
      <c r="P214" s="1547"/>
      <c r="AH214" s="1554">
        <v>0</v>
      </c>
    </row>
    <row r="215" spans="1:34" s="1558" customFormat="1" ht="45" hidden="1" customHeight="1">
      <c r="A215" s="1700" t="s">
        <v>188</v>
      </c>
      <c r="B215" s="1700" t="s">
        <v>189</v>
      </c>
      <c r="C215" s="305"/>
      <c r="D215" s="2723"/>
      <c r="E215" s="2461"/>
      <c r="F215" s="261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692" t="str">
        <f>INDEX(PT_DIFFERENTIATION_NTAR,MATCH(B215,PT_DIFFERENTIATION_NTAR_ID,0))</f>
        <v/>
      </c>
      <c r="H215" s="1779"/>
      <c r="I215" s="1660"/>
      <c r="J215" s="1694"/>
      <c r="K215" s="1698"/>
      <c r="L215" s="1779" t="s">
        <v>325</v>
      </c>
      <c r="M215" s="278"/>
      <c r="N215" s="271"/>
      <c r="O215" s="1547"/>
      <c r="P215" s="1547"/>
      <c r="AH215" s="1554">
        <v>0</v>
      </c>
    </row>
    <row r="216" spans="1:34" s="1558" customFormat="1" ht="18.75" hidden="1" customHeight="1">
      <c r="A216" s="1700"/>
      <c r="B216" s="1700"/>
      <c r="C216" s="305" t="s">
        <v>1352</v>
      </c>
      <c r="D216" s="2723"/>
      <c r="E216" s="2461"/>
      <c r="F216" s="2616"/>
      <c r="G216" s="2692"/>
      <c r="H216" s="1423"/>
      <c r="I216" s="587" t="s">
        <v>1351</v>
      </c>
      <c r="J216" s="507"/>
      <c r="K216" s="1423"/>
      <c r="L216" s="151"/>
      <c r="M216" s="278"/>
      <c r="N216" s="271"/>
      <c r="O216" s="1547"/>
      <c r="P216" s="1547"/>
      <c r="AH216" s="1554">
        <v>0</v>
      </c>
    </row>
    <row r="217" spans="1:34" s="1558" customFormat="1" ht="0.75" hidden="1" customHeight="1">
      <c r="A217" s="1700"/>
      <c r="B217" s="1700"/>
      <c r="C217" s="305" t="s">
        <v>1359</v>
      </c>
      <c r="D217" s="2723"/>
      <c r="E217" s="2461"/>
      <c r="F217" s="2616"/>
      <c r="G217" s="336"/>
      <c r="H217" s="1423"/>
      <c r="I217" s="587"/>
      <c r="J217" s="507"/>
      <c r="K217" s="1423"/>
      <c r="L217" s="151"/>
      <c r="M217" s="278"/>
      <c r="N217" s="271"/>
      <c r="O217" s="1547"/>
      <c r="P217" s="1547"/>
      <c r="AH217" s="1554">
        <v>0</v>
      </c>
    </row>
    <row r="218" spans="1:34" s="1558" customFormat="1" ht="45" hidden="1" customHeight="1">
      <c r="A218" s="1700" t="s">
        <v>194</v>
      </c>
      <c r="B218" s="1700" t="s">
        <v>195</v>
      </c>
      <c r="C218" s="305"/>
      <c r="D218" s="2723"/>
      <c r="E218" s="2461"/>
      <c r="F218" s="261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692" t="str">
        <f>INDEX(PT_DIFFERENTIATION_NTAR,MATCH(B218,PT_DIFFERENTIATION_NTAR_ID,0))</f>
        <v/>
      </c>
      <c r="H218" s="1779"/>
      <c r="I218" s="1660"/>
      <c r="J218" s="1694"/>
      <c r="K218" s="1698"/>
      <c r="L218" s="1779" t="s">
        <v>325</v>
      </c>
      <c r="M218" s="278"/>
      <c r="N218" s="271"/>
      <c r="O218" s="1547"/>
      <c r="P218" s="1547"/>
      <c r="AH218" s="1554">
        <v>0</v>
      </c>
    </row>
    <row r="219" spans="1:34" s="1558" customFormat="1" ht="18.75" hidden="1" customHeight="1">
      <c r="A219" s="1700"/>
      <c r="B219" s="1700"/>
      <c r="C219" s="305" t="s">
        <v>1352</v>
      </c>
      <c r="D219" s="2723"/>
      <c r="E219" s="2461"/>
      <c r="F219" s="2616"/>
      <c r="G219" s="2692"/>
      <c r="H219" s="1423"/>
      <c r="I219" s="587" t="s">
        <v>1351</v>
      </c>
      <c r="J219" s="507"/>
      <c r="K219" s="1423"/>
      <c r="L219" s="151"/>
      <c r="M219" s="278"/>
      <c r="N219" s="271"/>
      <c r="O219" s="1547"/>
      <c r="P219" s="1547"/>
      <c r="AH219" s="1554">
        <v>0</v>
      </c>
    </row>
    <row r="220" spans="1:34" s="1558" customFormat="1" ht="0.75" hidden="1" customHeight="1">
      <c r="A220" s="1700"/>
      <c r="B220" s="1700"/>
      <c r="C220" s="305" t="s">
        <v>1359</v>
      </c>
      <c r="D220" s="2723"/>
      <c r="E220" s="2461"/>
      <c r="F220" s="2616"/>
      <c r="G220" s="336"/>
      <c r="H220" s="1423"/>
      <c r="I220" s="587"/>
      <c r="J220" s="507"/>
      <c r="K220" s="1423"/>
      <c r="L220" s="151"/>
      <c r="M220" s="278"/>
      <c r="N220" s="271"/>
      <c r="O220" s="1547"/>
      <c r="P220" s="1547"/>
      <c r="AH220" s="1554">
        <v>0</v>
      </c>
    </row>
    <row r="221" spans="1:34" s="1558" customFormat="1" ht="18.75" hidden="1" customHeight="1">
      <c r="A221" s="1700" t="s">
        <v>200</v>
      </c>
      <c r="B221" s="1700" t="s">
        <v>201</v>
      </c>
      <c r="C221" s="305"/>
      <c r="D221" s="2723"/>
      <c r="E221" s="2461"/>
      <c r="F221" s="2616" t="str">
        <f>INDEX(PT_DIFFERENTIATION_VTAR,MATCH(A221,PT_DIFFERENTIATION_VTAR_ID,0))</f>
        <v>Тарифы на услуги по передаче тепловой энергии</v>
      </c>
      <c r="G221" s="2692" t="str">
        <f>INDEX(PT_DIFFERENTIATION_NTAR,MATCH(B221,PT_DIFFERENTIATION_NTAR_ID,0))</f>
        <v/>
      </c>
      <c r="H221" s="1779"/>
      <c r="I221" s="1660"/>
      <c r="J221" s="1694"/>
      <c r="K221" s="1698"/>
      <c r="L221" s="1779" t="s">
        <v>325</v>
      </c>
      <c r="M221" s="278"/>
      <c r="N221" s="271"/>
      <c r="O221" s="1547"/>
      <c r="P221" s="1547"/>
      <c r="AH221" s="1554">
        <v>0</v>
      </c>
    </row>
    <row r="222" spans="1:34" s="1558" customFormat="1" ht="18.75" hidden="1" customHeight="1">
      <c r="A222" s="1700"/>
      <c r="B222" s="1700"/>
      <c r="C222" s="305" t="s">
        <v>1352</v>
      </c>
      <c r="D222" s="2723"/>
      <c r="E222" s="2461"/>
      <c r="F222" s="2616"/>
      <c r="G222" s="2692"/>
      <c r="H222" s="1423"/>
      <c r="I222" s="587" t="s">
        <v>1351</v>
      </c>
      <c r="J222" s="507"/>
      <c r="K222" s="1423"/>
      <c r="L222" s="151"/>
      <c r="M222" s="278"/>
      <c r="N222" s="271"/>
      <c r="O222" s="1547"/>
      <c r="P222" s="1547"/>
      <c r="AH222" s="1554">
        <v>0</v>
      </c>
    </row>
    <row r="223" spans="1:34" s="1558" customFormat="1" ht="0.75" hidden="1" customHeight="1">
      <c r="A223" s="1700"/>
      <c r="B223" s="1700"/>
      <c r="C223" s="305" t="s">
        <v>1359</v>
      </c>
      <c r="D223" s="2723"/>
      <c r="E223" s="2461"/>
      <c r="F223" s="2616"/>
      <c r="G223" s="336"/>
      <c r="H223" s="1423"/>
      <c r="I223" s="587"/>
      <c r="J223" s="507"/>
      <c r="K223" s="1423"/>
      <c r="L223" s="151"/>
      <c r="M223" s="278"/>
      <c r="N223" s="271"/>
      <c r="O223" s="1547"/>
      <c r="P223" s="1547"/>
      <c r="AH223" s="1554">
        <v>0</v>
      </c>
    </row>
    <row r="224" spans="1:34" s="1558" customFormat="1" ht="18.75" hidden="1" customHeight="1">
      <c r="A224" s="1700" t="s">
        <v>206</v>
      </c>
      <c r="B224" s="1700" t="s">
        <v>207</v>
      </c>
      <c r="C224" s="305"/>
      <c r="D224" s="2723"/>
      <c r="E224" s="2461"/>
      <c r="F224" s="2616" t="str">
        <f>INDEX(PT_DIFFERENTIATION_VTAR,MATCH(A224,PT_DIFFERENTIATION_VTAR_ID,0))</f>
        <v>Тарифы на услуги по передаче теплоносителя</v>
      </c>
      <c r="G224" s="2692" t="str">
        <f>INDEX(PT_DIFFERENTIATION_NTAR,MATCH(B224,PT_DIFFERENTIATION_NTAR_ID,0))</f>
        <v/>
      </c>
      <c r="H224" s="1779"/>
      <c r="I224" s="1660"/>
      <c r="J224" s="1694"/>
      <c r="K224" s="1698"/>
      <c r="L224" s="1779" t="s">
        <v>325</v>
      </c>
      <c r="M224" s="278"/>
      <c r="N224" s="271"/>
      <c r="O224" s="1547"/>
      <c r="P224" s="1547"/>
      <c r="AH224" s="1554">
        <v>0</v>
      </c>
    </row>
    <row r="225" spans="1:34" s="1558" customFormat="1" ht="18.75" hidden="1" customHeight="1">
      <c r="A225" s="1700"/>
      <c r="B225" s="1700"/>
      <c r="C225" s="305" t="s">
        <v>1352</v>
      </c>
      <c r="D225" s="2723"/>
      <c r="E225" s="2461"/>
      <c r="F225" s="2616"/>
      <c r="G225" s="2692"/>
      <c r="H225" s="1423"/>
      <c r="I225" s="587" t="s">
        <v>1351</v>
      </c>
      <c r="J225" s="507"/>
      <c r="K225" s="1423"/>
      <c r="L225" s="151"/>
      <c r="M225" s="278"/>
      <c r="N225" s="271"/>
      <c r="O225" s="1547"/>
      <c r="P225" s="1547"/>
      <c r="AH225" s="1554">
        <v>0</v>
      </c>
    </row>
    <row r="226" spans="1:34" s="1558" customFormat="1" ht="0.75" hidden="1" customHeight="1">
      <c r="A226" s="1700"/>
      <c r="B226" s="1700"/>
      <c r="C226" s="305" t="s">
        <v>1359</v>
      </c>
      <c r="D226" s="2723"/>
      <c r="E226" s="2461"/>
      <c r="F226" s="2616"/>
      <c r="G226" s="336"/>
      <c r="H226" s="1423"/>
      <c r="I226" s="587"/>
      <c r="J226" s="507"/>
      <c r="K226" s="1423"/>
      <c r="L226" s="151"/>
      <c r="M226" s="278"/>
      <c r="N226" s="271"/>
      <c r="O226" s="1547"/>
      <c r="P226" s="1547"/>
      <c r="AH226" s="1554">
        <v>0</v>
      </c>
    </row>
    <row r="227" spans="1:34" s="1558" customFormat="1" ht="18.75" hidden="1" customHeight="1">
      <c r="A227" s="1700" t="s">
        <v>212</v>
      </c>
      <c r="B227" s="1700" t="s">
        <v>213</v>
      </c>
      <c r="C227" s="305"/>
      <c r="D227" s="2723"/>
      <c r="E227" s="2461"/>
      <c r="F227" s="261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692" t="str">
        <f>INDEX(PT_DIFFERENTIATION_NTAR,MATCH(B227,PT_DIFFERENTIATION_NTAR_ID,0))</f>
        <v/>
      </c>
      <c r="H227" s="1779"/>
      <c r="I227" s="1660"/>
      <c r="J227" s="1694"/>
      <c r="K227" s="1698"/>
      <c r="L227" s="1779" t="s">
        <v>325</v>
      </c>
      <c r="M227" s="278"/>
      <c r="N227" s="271"/>
      <c r="O227" s="1547"/>
      <c r="P227" s="1547"/>
      <c r="AH227" s="1554">
        <v>0</v>
      </c>
    </row>
    <row r="228" spans="1:34" s="1558" customFormat="1" ht="18.75" hidden="1" customHeight="1">
      <c r="A228" s="1700"/>
      <c r="B228" s="1700"/>
      <c r="C228" s="305" t="s">
        <v>1352</v>
      </c>
      <c r="D228" s="2723"/>
      <c r="E228" s="2461"/>
      <c r="F228" s="2616"/>
      <c r="G228" s="2692"/>
      <c r="H228" s="1423"/>
      <c r="I228" s="587" t="s">
        <v>1351</v>
      </c>
      <c r="J228" s="507"/>
      <c r="K228" s="1423"/>
      <c r="L228" s="151"/>
      <c r="M228" s="278"/>
      <c r="N228" s="271"/>
      <c r="O228" s="1547"/>
      <c r="P228" s="1547"/>
      <c r="AH228" s="1554">
        <v>0</v>
      </c>
    </row>
    <row r="229" spans="1:34" s="1558" customFormat="1" ht="0.75" hidden="1" customHeight="1">
      <c r="A229" s="1700"/>
      <c r="B229" s="1700"/>
      <c r="C229" s="305" t="s">
        <v>1359</v>
      </c>
      <c r="D229" s="2723"/>
      <c r="E229" s="2461"/>
      <c r="F229" s="2616"/>
      <c r="G229" s="336"/>
      <c r="H229" s="1423"/>
      <c r="I229" s="587"/>
      <c r="J229" s="507"/>
      <c r="K229" s="1423"/>
      <c r="L229" s="151"/>
      <c r="M229" s="278"/>
      <c r="N229" s="271"/>
      <c r="O229" s="1547"/>
      <c r="P229" s="1547"/>
      <c r="AH229" s="1554">
        <v>0</v>
      </c>
    </row>
    <row r="230" spans="1:34" s="1558" customFormat="1" ht="18.75" hidden="1" customHeight="1">
      <c r="A230" s="1700" t="s">
        <v>218</v>
      </c>
      <c r="B230" s="1700" t="s">
        <v>219</v>
      </c>
      <c r="C230" s="305"/>
      <c r="D230" s="2723"/>
      <c r="E230" s="2461"/>
      <c r="F230" s="2616" t="str">
        <f>INDEX(PT_DIFFERENTIATION_VTAR,MATCH(A230,PT_DIFFERENTIATION_VTAR_ID,0))</f>
        <v>Плата за подключение (технологическое присоединение) к системе теплоснабжения</v>
      </c>
      <c r="G230" s="2692" t="str">
        <f>INDEX(PT_DIFFERENTIATION_NTAR,MATCH(B230,PT_DIFFERENTIATION_NTAR_ID,0))</f>
        <v/>
      </c>
      <c r="H230" s="1779"/>
      <c r="I230" s="1660"/>
      <c r="J230" s="1694"/>
      <c r="K230" s="1698"/>
      <c r="L230" s="1779" t="s">
        <v>325</v>
      </c>
      <c r="M230" s="278"/>
      <c r="N230" s="271"/>
      <c r="O230" s="1547"/>
      <c r="P230" s="1547"/>
      <c r="AH230" s="1554">
        <v>0</v>
      </c>
    </row>
    <row r="231" spans="1:34" s="1558" customFormat="1" ht="18.75" hidden="1" customHeight="1">
      <c r="A231" s="1700"/>
      <c r="B231" s="1700"/>
      <c r="C231" s="305" t="s">
        <v>1352</v>
      </c>
      <c r="D231" s="2723"/>
      <c r="E231" s="2461"/>
      <c r="F231" s="2616"/>
      <c r="G231" s="2692"/>
      <c r="H231" s="1423"/>
      <c r="I231" s="587" t="s">
        <v>1351</v>
      </c>
      <c r="J231" s="507"/>
      <c r="K231" s="1423"/>
      <c r="L231" s="151"/>
      <c r="M231" s="278"/>
      <c r="N231" s="271"/>
      <c r="O231" s="1547"/>
      <c r="P231" s="1547"/>
      <c r="AH231" s="1554">
        <v>0</v>
      </c>
    </row>
    <row r="232" spans="1:34" s="1558" customFormat="1" ht="0.75" hidden="1" customHeight="1">
      <c r="A232" s="1700"/>
      <c r="B232" s="1700"/>
      <c r="C232" s="305" t="s">
        <v>1359</v>
      </c>
      <c r="D232" s="2723"/>
      <c r="E232" s="2461"/>
      <c r="F232" s="2616"/>
      <c r="G232" s="336"/>
      <c r="H232" s="1423"/>
      <c r="I232" s="587"/>
      <c r="J232" s="507"/>
      <c r="K232" s="1423"/>
      <c r="L232" s="151"/>
      <c r="M232" s="278"/>
      <c r="N232" s="271"/>
      <c r="O232" s="1547"/>
      <c r="P232" s="1547"/>
      <c r="AH232" s="1554">
        <v>0</v>
      </c>
    </row>
    <row r="233" spans="1:34" s="1558" customFormat="1" ht="18.75" hidden="1" customHeight="1">
      <c r="A233" s="1700" t="s">
        <v>224</v>
      </c>
      <c r="B233" s="1700" t="s">
        <v>225</v>
      </c>
      <c r="C233" s="305"/>
      <c r="D233" s="2723"/>
      <c r="E233" s="2461"/>
      <c r="F233" s="2616" t="str">
        <f>INDEX(PT_DIFFERENTIATION_VTAR,MATCH(A233,PT_DIFFERENTIATION_VTAR_ID,0))</f>
        <v>Плата за подключение (технологическое присоединение) к системе теплоснабжения (индивидуальная)</v>
      </c>
      <c r="G233" s="2692" t="str">
        <f>INDEX(PT_DIFFERENTIATION_NTAR,MATCH(B233,PT_DIFFERENTIATION_NTAR_ID,0))</f>
        <v/>
      </c>
      <c r="H233" s="1903"/>
      <c r="I233" s="1660"/>
      <c r="J233" s="1694"/>
      <c r="K233" s="1698"/>
      <c r="L233" s="1903" t="s">
        <v>325</v>
      </c>
      <c r="M233" s="278"/>
      <c r="N233" s="271"/>
      <c r="O233" s="1547"/>
      <c r="P233" s="1547"/>
      <c r="AH233" s="1554">
        <v>0</v>
      </c>
    </row>
    <row r="234" spans="1:34" s="1558" customFormat="1" ht="18.75" hidden="1" customHeight="1">
      <c r="A234" s="1700"/>
      <c r="B234" s="1700"/>
      <c r="C234" s="305" t="s">
        <v>1352</v>
      </c>
      <c r="D234" s="2723"/>
      <c r="E234" s="2461"/>
      <c r="F234" s="2616"/>
      <c r="G234" s="2692"/>
      <c r="H234" s="1423"/>
      <c r="I234" s="587" t="s">
        <v>1351</v>
      </c>
      <c r="J234" s="507"/>
      <c r="K234" s="1423"/>
      <c r="L234" s="151"/>
      <c r="M234" s="278"/>
      <c r="N234" s="271"/>
      <c r="O234" s="1547"/>
      <c r="P234" s="1547"/>
      <c r="AH234" s="1554">
        <v>0</v>
      </c>
    </row>
    <row r="235" spans="1:34" s="1558" customFormat="1" ht="0.75" hidden="1" customHeight="1">
      <c r="A235" s="1700"/>
      <c r="B235" s="1700"/>
      <c r="C235" s="305" t="s">
        <v>1359</v>
      </c>
      <c r="D235" s="2723"/>
      <c r="E235" s="2461"/>
      <c r="F235" s="2616"/>
      <c r="G235" s="336"/>
      <c r="H235" s="1423"/>
      <c r="I235" s="587"/>
      <c r="J235" s="507"/>
      <c r="K235" s="1423"/>
      <c r="L235" s="151"/>
      <c r="M235" s="278"/>
      <c r="N235" s="271"/>
      <c r="O235" s="1547"/>
      <c r="P235" s="1547"/>
      <c r="AH235" s="1554">
        <v>0</v>
      </c>
    </row>
    <row r="236" spans="1:34" s="1558" customFormat="1" ht="18.75" hidden="1" customHeight="1">
      <c r="A236" s="1700" t="s">
        <v>244</v>
      </c>
      <c r="B236" s="1700" t="s">
        <v>245</v>
      </c>
      <c r="C236" s="305"/>
      <c r="D236" s="2723"/>
      <c r="E236" s="2461"/>
      <c r="F236" s="2616" t="str">
        <f>INDEX(PT_DIFFERENTIATION_VTAR,MATCH(A236,PT_DIFFERENTIATION_VTAR_ID,0))</f>
        <v>Тариф на питьевую воду (питьевое водоснабжение)</v>
      </c>
      <c r="G236" s="2692" t="str">
        <f>INDEX(PT_DIFFERENTIATION_NTAR,MATCH(B236,PT_DIFFERENTIATION_NTAR_ID,0))</f>
        <v/>
      </c>
      <c r="H236" s="1779"/>
      <c r="I236" s="1660"/>
      <c r="J236" s="1694"/>
      <c r="K236" s="1698"/>
      <c r="L236" s="1779" t="s">
        <v>325</v>
      </c>
      <c r="M236" s="278"/>
      <c r="N236" s="271"/>
      <c r="O236" s="1547"/>
      <c r="P236" s="1547"/>
      <c r="AH236" s="1554">
        <v>0</v>
      </c>
    </row>
    <row r="237" spans="1:34" s="1558" customFormat="1" ht="18.75" hidden="1" customHeight="1">
      <c r="A237" s="1700"/>
      <c r="B237" s="1700"/>
      <c r="C237" s="305" t="s">
        <v>1352</v>
      </c>
      <c r="D237" s="2723"/>
      <c r="E237" s="2461"/>
      <c r="F237" s="2616"/>
      <c r="G237" s="2692"/>
      <c r="H237" s="1423"/>
      <c r="I237" s="587" t="s">
        <v>1351</v>
      </c>
      <c r="J237" s="507"/>
      <c r="K237" s="1423"/>
      <c r="L237" s="151"/>
      <c r="M237" s="278"/>
      <c r="N237" s="271"/>
      <c r="O237" s="1547"/>
      <c r="P237" s="1547"/>
      <c r="AH237" s="1554">
        <v>0</v>
      </c>
    </row>
    <row r="238" spans="1:34" s="1558" customFormat="1" ht="0.75" hidden="1" customHeight="1">
      <c r="A238" s="1700"/>
      <c r="B238" s="1700"/>
      <c r="C238" s="305" t="s">
        <v>1359</v>
      </c>
      <c r="D238" s="2723"/>
      <c r="E238" s="2461"/>
      <c r="F238" s="2616"/>
      <c r="G238" s="336"/>
      <c r="H238" s="1423"/>
      <c r="I238" s="587"/>
      <c r="J238" s="507"/>
      <c r="K238" s="1423"/>
      <c r="L238" s="151"/>
      <c r="M238" s="278"/>
      <c r="N238" s="271"/>
      <c r="O238" s="1547"/>
      <c r="P238" s="1547"/>
      <c r="AH238" s="1554">
        <v>0</v>
      </c>
    </row>
    <row r="239" spans="1:34" s="1558" customFormat="1" ht="18.75" hidden="1" customHeight="1">
      <c r="A239" s="1700" t="s">
        <v>249</v>
      </c>
      <c r="B239" s="1700" t="s">
        <v>250</v>
      </c>
      <c r="C239" s="305"/>
      <c r="D239" s="2723"/>
      <c r="E239" s="2461"/>
      <c r="F239" s="2616" t="str">
        <f>INDEX(PT_DIFFERENTIATION_VTAR,MATCH(A239,PT_DIFFERENTIATION_VTAR_ID,0))</f>
        <v>Тариф на техническую воду</v>
      </c>
      <c r="G239" s="2692" t="str">
        <f>INDEX(PT_DIFFERENTIATION_NTAR,MATCH(B239,PT_DIFFERENTIATION_NTAR_ID,0))</f>
        <v/>
      </c>
      <c r="H239" s="1779"/>
      <c r="I239" s="1660"/>
      <c r="J239" s="1694"/>
      <c r="K239" s="1698"/>
      <c r="L239" s="1779" t="s">
        <v>325</v>
      </c>
      <c r="M239" s="278"/>
      <c r="N239" s="271"/>
      <c r="O239" s="1547"/>
      <c r="P239" s="1547"/>
      <c r="AH239" s="1554">
        <v>0</v>
      </c>
    </row>
    <row r="240" spans="1:34" s="1558" customFormat="1" ht="18.75" hidden="1" customHeight="1">
      <c r="A240" s="1700"/>
      <c r="B240" s="1700"/>
      <c r="C240" s="305" t="s">
        <v>1352</v>
      </c>
      <c r="D240" s="2723"/>
      <c r="E240" s="2461"/>
      <c r="F240" s="2616"/>
      <c r="G240" s="2692"/>
      <c r="H240" s="1423"/>
      <c r="I240" s="587" t="s">
        <v>1351</v>
      </c>
      <c r="J240" s="507"/>
      <c r="K240" s="1423"/>
      <c r="L240" s="151"/>
      <c r="M240" s="278"/>
      <c r="N240" s="271"/>
      <c r="O240" s="1547"/>
      <c r="P240" s="1547"/>
      <c r="AH240" s="1554">
        <v>0</v>
      </c>
    </row>
    <row r="241" spans="1:34" s="1558" customFormat="1" ht="0.75" hidden="1" customHeight="1">
      <c r="A241" s="1700"/>
      <c r="B241" s="1700"/>
      <c r="C241" s="305" t="s">
        <v>1359</v>
      </c>
      <c r="D241" s="2723"/>
      <c r="E241" s="2461"/>
      <c r="F241" s="2616"/>
      <c r="G241" s="336"/>
      <c r="H241" s="1423"/>
      <c r="I241" s="587"/>
      <c r="J241" s="507"/>
      <c r="K241" s="1423"/>
      <c r="L241" s="151"/>
      <c r="M241" s="278"/>
      <c r="N241" s="271"/>
      <c r="O241" s="1547"/>
      <c r="P241" s="1547"/>
      <c r="AH241" s="1554">
        <v>0</v>
      </c>
    </row>
    <row r="242" spans="1:34" s="1558" customFormat="1" ht="18.75" hidden="1" customHeight="1">
      <c r="A242" s="1700" t="s">
        <v>254</v>
      </c>
      <c r="B242" s="1700" t="s">
        <v>255</v>
      </c>
      <c r="C242" s="305"/>
      <c r="D242" s="2723"/>
      <c r="E242" s="2461"/>
      <c r="F242" s="2616" t="str">
        <f>INDEX(PT_DIFFERENTIATION_VTAR,MATCH(A242,PT_DIFFERENTIATION_VTAR_ID,0))</f>
        <v>Тариф на транспортировку воды</v>
      </c>
      <c r="G242" s="2692" t="str">
        <f>INDEX(PT_DIFFERENTIATION_NTAR,MATCH(B242,PT_DIFFERENTIATION_NTAR_ID,0))</f>
        <v/>
      </c>
      <c r="H242" s="1779"/>
      <c r="I242" s="1660"/>
      <c r="J242" s="1694"/>
      <c r="K242" s="1698"/>
      <c r="L242" s="1779" t="s">
        <v>325</v>
      </c>
      <c r="M242" s="278"/>
      <c r="N242" s="271"/>
      <c r="O242" s="1547"/>
      <c r="P242" s="1547"/>
      <c r="AH242" s="1554">
        <v>0</v>
      </c>
    </row>
    <row r="243" spans="1:34" s="1558" customFormat="1" ht="18.75" hidden="1" customHeight="1">
      <c r="A243" s="1700"/>
      <c r="B243" s="1700"/>
      <c r="C243" s="305" t="s">
        <v>1352</v>
      </c>
      <c r="D243" s="2723"/>
      <c r="E243" s="2461"/>
      <c r="F243" s="2616"/>
      <c r="G243" s="2692"/>
      <c r="H243" s="1423"/>
      <c r="I243" s="587" t="s">
        <v>1351</v>
      </c>
      <c r="J243" s="507"/>
      <c r="K243" s="1423"/>
      <c r="L243" s="151"/>
      <c r="M243" s="278"/>
      <c r="N243" s="271"/>
      <c r="O243" s="1547"/>
      <c r="P243" s="1547"/>
      <c r="AH243" s="1554">
        <v>0</v>
      </c>
    </row>
    <row r="244" spans="1:34" s="1558" customFormat="1" ht="0.75" hidden="1" customHeight="1">
      <c r="A244" s="1700"/>
      <c r="B244" s="1700"/>
      <c r="C244" s="305" t="s">
        <v>1359</v>
      </c>
      <c r="D244" s="2723"/>
      <c r="E244" s="2461"/>
      <c r="F244" s="2616"/>
      <c r="G244" s="336"/>
      <c r="H244" s="1423"/>
      <c r="I244" s="587"/>
      <c r="J244" s="507"/>
      <c r="K244" s="1423"/>
      <c r="L244" s="151"/>
      <c r="M244" s="278"/>
      <c r="N244" s="271"/>
      <c r="O244" s="1547"/>
      <c r="P244" s="1547"/>
      <c r="AH244" s="1554">
        <v>0</v>
      </c>
    </row>
    <row r="245" spans="1:34" s="1558" customFormat="1" ht="18.75" hidden="1" customHeight="1">
      <c r="A245" s="1700" t="s">
        <v>259</v>
      </c>
      <c r="B245" s="1700" t="s">
        <v>260</v>
      </c>
      <c r="C245" s="305"/>
      <c r="D245" s="2723"/>
      <c r="E245" s="2461"/>
      <c r="F245" s="2616" t="str">
        <f>INDEX(PT_DIFFERENTIATION_VTAR,MATCH(A245,PT_DIFFERENTIATION_VTAR_ID,0))</f>
        <v>Тариф на подвоз воды</v>
      </c>
      <c r="G245" s="2692" t="str">
        <f>INDEX(PT_DIFFERENTIATION_NTAR,MATCH(B245,PT_DIFFERENTIATION_NTAR_ID,0))</f>
        <v/>
      </c>
      <c r="H245" s="1779"/>
      <c r="I245" s="1660"/>
      <c r="J245" s="1694"/>
      <c r="K245" s="1698"/>
      <c r="L245" s="1779" t="s">
        <v>325</v>
      </c>
      <c r="M245" s="278"/>
      <c r="N245" s="271"/>
      <c r="O245" s="1547"/>
      <c r="P245" s="1547"/>
      <c r="AH245" s="1554">
        <v>0</v>
      </c>
    </row>
    <row r="246" spans="1:34" s="1558" customFormat="1" ht="18.75" hidden="1" customHeight="1">
      <c r="A246" s="1700"/>
      <c r="B246" s="1700"/>
      <c r="C246" s="305" t="s">
        <v>1352</v>
      </c>
      <c r="D246" s="2723"/>
      <c r="E246" s="2461"/>
      <c r="F246" s="2616"/>
      <c r="G246" s="2692"/>
      <c r="H246" s="1423"/>
      <c r="I246" s="587" t="s">
        <v>1351</v>
      </c>
      <c r="J246" s="507"/>
      <c r="K246" s="1423"/>
      <c r="L246" s="151"/>
      <c r="M246" s="278"/>
      <c r="N246" s="271"/>
      <c r="O246" s="1547"/>
      <c r="P246" s="1547"/>
      <c r="AH246" s="1554">
        <v>0</v>
      </c>
    </row>
    <row r="247" spans="1:34" s="1558" customFormat="1" ht="0.75" hidden="1" customHeight="1">
      <c r="A247" s="1700"/>
      <c r="B247" s="1700"/>
      <c r="C247" s="305" t="s">
        <v>1359</v>
      </c>
      <c r="D247" s="2723"/>
      <c r="E247" s="2461"/>
      <c r="F247" s="2616"/>
      <c r="G247" s="336"/>
      <c r="H247" s="1423"/>
      <c r="I247" s="587"/>
      <c r="J247" s="507"/>
      <c r="K247" s="1423"/>
      <c r="L247" s="151"/>
      <c r="M247" s="278"/>
      <c r="N247" s="271"/>
      <c r="O247" s="1547"/>
      <c r="P247" s="1547"/>
      <c r="AH247" s="1554">
        <v>0</v>
      </c>
    </row>
    <row r="248" spans="1:34" s="1558" customFormat="1" ht="18.75" hidden="1" customHeight="1">
      <c r="A248" s="1700" t="s">
        <v>264</v>
      </c>
      <c r="B248" s="1700" t="s">
        <v>265</v>
      </c>
      <c r="C248" s="305"/>
      <c r="D248" s="2723"/>
      <c r="E248" s="2461"/>
      <c r="F248" s="261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692" t="str">
        <f>INDEX(PT_DIFFERENTIATION_NTAR,MATCH(B248,PT_DIFFERENTIATION_NTAR_ID,0))</f>
        <v/>
      </c>
      <c r="H248" s="1779"/>
      <c r="I248" s="1660"/>
      <c r="J248" s="1694"/>
      <c r="K248" s="1698"/>
      <c r="L248" s="1779" t="s">
        <v>325</v>
      </c>
      <c r="M248" s="278"/>
      <c r="N248" s="271"/>
      <c r="O248" s="1547"/>
      <c r="P248" s="1547"/>
      <c r="AH248" s="1554">
        <v>0</v>
      </c>
    </row>
    <row r="249" spans="1:34" s="1558" customFormat="1" ht="18.75" hidden="1" customHeight="1">
      <c r="A249" s="1700"/>
      <c r="B249" s="1700"/>
      <c r="C249" s="305" t="s">
        <v>1352</v>
      </c>
      <c r="D249" s="2723"/>
      <c r="E249" s="2461"/>
      <c r="F249" s="2616"/>
      <c r="G249" s="2692"/>
      <c r="H249" s="1423"/>
      <c r="I249" s="587" t="s">
        <v>1351</v>
      </c>
      <c r="J249" s="507"/>
      <c r="K249" s="1423"/>
      <c r="L249" s="151"/>
      <c r="M249" s="278"/>
      <c r="N249" s="271"/>
      <c r="O249" s="1547"/>
      <c r="P249" s="1547"/>
      <c r="AH249" s="1554">
        <v>0</v>
      </c>
    </row>
    <row r="250" spans="1:34" s="1558" customFormat="1" ht="0.75" hidden="1" customHeight="1">
      <c r="A250" s="1700"/>
      <c r="B250" s="1700"/>
      <c r="C250" s="305" t="s">
        <v>1359</v>
      </c>
      <c r="D250" s="2723"/>
      <c r="E250" s="2461"/>
      <c r="F250" s="2616"/>
      <c r="G250" s="336"/>
      <c r="H250" s="1423"/>
      <c r="I250" s="587"/>
      <c r="J250" s="507"/>
      <c r="K250" s="1423"/>
      <c r="L250" s="151"/>
      <c r="M250" s="278"/>
      <c r="N250" s="271"/>
      <c r="O250" s="1547"/>
      <c r="P250" s="1547"/>
      <c r="AH250" s="1554">
        <v>0</v>
      </c>
    </row>
    <row r="251" spans="1:34" s="1558" customFormat="1" ht="18.75" hidden="1" customHeight="1">
      <c r="A251" s="1700" t="s">
        <v>269</v>
      </c>
      <c r="B251" s="1700" t="s">
        <v>270</v>
      </c>
      <c r="C251" s="305"/>
      <c r="D251" s="2723"/>
      <c r="E251" s="2461"/>
      <c r="F251" s="2616" t="str">
        <f>INDEX(PT_DIFFERENTIATION_VTAR,MATCH(A251,PT_DIFFERENTIATION_VTAR_ID,0))</f>
        <v>Тариф на горячую воду (горячее водоснабжение)</v>
      </c>
      <c r="G251" s="2692" t="str">
        <f>INDEX(PT_DIFFERENTIATION_NTAR,MATCH(B251,PT_DIFFERENTIATION_NTAR_ID,0))</f>
        <v/>
      </c>
      <c r="H251" s="1779"/>
      <c r="I251" s="1660"/>
      <c r="J251" s="1694"/>
      <c r="K251" s="1698"/>
      <c r="L251" s="1779" t="s">
        <v>325</v>
      </c>
      <c r="M251" s="278"/>
      <c r="N251" s="271"/>
      <c r="O251" s="1547"/>
      <c r="P251" s="1547"/>
      <c r="AH251" s="1554">
        <v>0</v>
      </c>
    </row>
    <row r="252" spans="1:34" s="1558" customFormat="1" ht="18.75" hidden="1" customHeight="1">
      <c r="A252" s="1700"/>
      <c r="B252" s="1700"/>
      <c r="C252" s="305" t="s">
        <v>1352</v>
      </c>
      <c r="D252" s="2723"/>
      <c r="E252" s="2461"/>
      <c r="F252" s="2616"/>
      <c r="G252" s="2692"/>
      <c r="H252" s="1423"/>
      <c r="I252" s="587" t="s">
        <v>1351</v>
      </c>
      <c r="J252" s="507"/>
      <c r="K252" s="1423"/>
      <c r="L252" s="151"/>
      <c r="M252" s="278"/>
      <c r="N252" s="271"/>
      <c r="O252" s="1547"/>
      <c r="P252" s="1547"/>
      <c r="AH252" s="1554">
        <v>0</v>
      </c>
    </row>
    <row r="253" spans="1:34" s="1558" customFormat="1" ht="0.75" hidden="1" customHeight="1">
      <c r="A253" s="1700"/>
      <c r="B253" s="1700"/>
      <c r="C253" s="305" t="s">
        <v>1359</v>
      </c>
      <c r="D253" s="2723"/>
      <c r="E253" s="2461"/>
      <c r="F253" s="2616"/>
      <c r="G253" s="336"/>
      <c r="H253" s="1423"/>
      <c r="I253" s="587"/>
      <c r="J253" s="507"/>
      <c r="K253" s="1423"/>
      <c r="L253" s="151"/>
      <c r="M253" s="278"/>
      <c r="N253" s="271"/>
      <c r="O253" s="1547"/>
      <c r="P253" s="1547"/>
      <c r="AH253" s="1554">
        <v>0</v>
      </c>
    </row>
    <row r="254" spans="1:34" s="1558" customFormat="1" ht="18.75" hidden="1" customHeight="1">
      <c r="A254" s="1700" t="s">
        <v>274</v>
      </c>
      <c r="B254" s="1700" t="s">
        <v>275</v>
      </c>
      <c r="C254" s="305"/>
      <c r="D254" s="2723"/>
      <c r="E254" s="2461"/>
      <c r="F254" s="2616" t="str">
        <f>INDEX(PT_DIFFERENTIATION_VTAR,MATCH(A254,PT_DIFFERENTIATION_VTAR_ID,0))</f>
        <v>Тариф на транспортировку горячей воды</v>
      </c>
      <c r="G254" s="2692" t="str">
        <f>INDEX(PT_DIFFERENTIATION_NTAR,MATCH(B254,PT_DIFFERENTIATION_NTAR_ID,0))</f>
        <v/>
      </c>
      <c r="H254" s="1779"/>
      <c r="I254" s="1660"/>
      <c r="J254" s="1694"/>
      <c r="K254" s="1698"/>
      <c r="L254" s="1779" t="s">
        <v>325</v>
      </c>
      <c r="M254" s="278"/>
      <c r="N254" s="271"/>
      <c r="O254" s="1547"/>
      <c r="P254" s="1547"/>
      <c r="AH254" s="1554">
        <v>0</v>
      </c>
    </row>
    <row r="255" spans="1:34" s="1558" customFormat="1" ht="18.75" hidden="1" customHeight="1">
      <c r="A255" s="1700"/>
      <c r="B255" s="1700"/>
      <c r="C255" s="305" t="s">
        <v>1352</v>
      </c>
      <c r="D255" s="2723"/>
      <c r="E255" s="2461"/>
      <c r="F255" s="2616"/>
      <c r="G255" s="2692"/>
      <c r="H255" s="1423"/>
      <c r="I255" s="587" t="s">
        <v>1351</v>
      </c>
      <c r="J255" s="507"/>
      <c r="K255" s="1423"/>
      <c r="L255" s="151"/>
      <c r="M255" s="278"/>
      <c r="N255" s="271"/>
      <c r="O255" s="1547"/>
      <c r="P255" s="1547"/>
      <c r="AH255" s="1554">
        <v>0</v>
      </c>
    </row>
    <row r="256" spans="1:34" s="1558" customFormat="1" ht="0.75" hidden="1" customHeight="1">
      <c r="A256" s="1700"/>
      <c r="B256" s="1700"/>
      <c r="C256" s="305" t="s">
        <v>1359</v>
      </c>
      <c r="D256" s="2723"/>
      <c r="E256" s="2461"/>
      <c r="F256" s="2616"/>
      <c r="G256" s="336"/>
      <c r="H256" s="1423"/>
      <c r="I256" s="587"/>
      <c r="J256" s="507"/>
      <c r="K256" s="1423"/>
      <c r="L256" s="151"/>
      <c r="M256" s="278"/>
      <c r="N256" s="271"/>
      <c r="O256" s="1547"/>
      <c r="P256" s="1547"/>
      <c r="AH256" s="1554">
        <v>0</v>
      </c>
    </row>
    <row r="257" spans="1:34" s="1558" customFormat="1" ht="18.75" hidden="1" customHeight="1">
      <c r="A257" s="1700" t="s">
        <v>279</v>
      </c>
      <c r="B257" s="1700" t="s">
        <v>280</v>
      </c>
      <c r="C257" s="305"/>
      <c r="D257" s="2723"/>
      <c r="E257" s="2461"/>
      <c r="F257" s="261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692" t="str">
        <f>INDEX(PT_DIFFERENTIATION_NTAR,MATCH(B257,PT_DIFFERENTIATION_NTAR_ID,0))</f>
        <v/>
      </c>
      <c r="H257" s="1779"/>
      <c r="I257" s="1660"/>
      <c r="J257" s="1694"/>
      <c r="K257" s="1698"/>
      <c r="L257" s="1779" t="s">
        <v>325</v>
      </c>
      <c r="M257" s="278"/>
      <c r="N257" s="271"/>
      <c r="O257" s="1547"/>
      <c r="P257" s="1547"/>
      <c r="AH257" s="1554">
        <v>0</v>
      </c>
    </row>
    <row r="258" spans="1:34" s="1558" customFormat="1" ht="18.75" hidden="1" customHeight="1">
      <c r="A258" s="1700"/>
      <c r="B258" s="1700"/>
      <c r="C258" s="305" t="s">
        <v>1352</v>
      </c>
      <c r="D258" s="2723"/>
      <c r="E258" s="2461"/>
      <c r="F258" s="2616"/>
      <c r="G258" s="2692"/>
      <c r="H258" s="1423"/>
      <c r="I258" s="587" t="s">
        <v>1351</v>
      </c>
      <c r="J258" s="507"/>
      <c r="K258" s="1423"/>
      <c r="L258" s="151"/>
      <c r="M258" s="278"/>
      <c r="N258" s="271"/>
      <c r="O258" s="1547"/>
      <c r="P258" s="1547"/>
      <c r="AH258" s="1554">
        <v>0</v>
      </c>
    </row>
    <row r="259" spans="1:34" s="1558" customFormat="1" ht="0.75" hidden="1" customHeight="1">
      <c r="A259" s="1700"/>
      <c r="B259" s="1700"/>
      <c r="C259" s="305" t="s">
        <v>1359</v>
      </c>
      <c r="D259" s="2723"/>
      <c r="E259" s="2461"/>
      <c r="F259" s="2616"/>
      <c r="G259" s="336"/>
      <c r="H259" s="1423"/>
      <c r="I259" s="587"/>
      <c r="J259" s="507"/>
      <c r="K259" s="1423"/>
      <c r="L259" s="151"/>
      <c r="M259" s="278"/>
      <c r="N259" s="271"/>
      <c r="O259" s="1547"/>
      <c r="P259" s="1547"/>
      <c r="AH259" s="1554">
        <v>0</v>
      </c>
    </row>
    <row r="260" spans="1:34" s="1558" customFormat="1" ht="18.75" hidden="1" customHeight="1">
      <c r="A260" s="1700" t="s">
        <v>284</v>
      </c>
      <c r="B260" s="1700" t="s">
        <v>285</v>
      </c>
      <c r="C260" s="305"/>
      <c r="D260" s="2723"/>
      <c r="E260" s="2461"/>
      <c r="F260" s="2616" t="str">
        <f>INDEX(PT_DIFFERENTIATION_VTAR,MATCH(A260,PT_DIFFERENTIATION_VTAR_ID,0))</f>
        <v>Тариф на водоотведение</v>
      </c>
      <c r="G260" s="2692" t="str">
        <f>INDEX(PT_DIFFERENTIATION_NTAR,MATCH(B260,PT_DIFFERENTIATION_NTAR_ID,0))</f>
        <v/>
      </c>
      <c r="H260" s="1779"/>
      <c r="I260" s="1660"/>
      <c r="J260" s="1694"/>
      <c r="K260" s="1698"/>
      <c r="L260" s="1779" t="s">
        <v>325</v>
      </c>
      <c r="M260" s="278"/>
      <c r="N260" s="271"/>
      <c r="O260" s="1547"/>
      <c r="P260" s="1547"/>
      <c r="AH260" s="1554">
        <v>0</v>
      </c>
    </row>
    <row r="261" spans="1:34" s="1558" customFormat="1" ht="18.75" hidden="1" customHeight="1">
      <c r="A261" s="1700"/>
      <c r="B261" s="1700"/>
      <c r="C261" s="305" t="s">
        <v>1352</v>
      </c>
      <c r="D261" s="2723"/>
      <c r="E261" s="2461"/>
      <c r="F261" s="2616"/>
      <c r="G261" s="2692"/>
      <c r="H261" s="1423"/>
      <c r="I261" s="587" t="s">
        <v>1351</v>
      </c>
      <c r="J261" s="507"/>
      <c r="K261" s="1423"/>
      <c r="L261" s="151"/>
      <c r="M261" s="278"/>
      <c r="N261" s="271"/>
      <c r="O261" s="1547"/>
      <c r="P261" s="1547"/>
      <c r="AH261" s="1554">
        <v>0</v>
      </c>
    </row>
    <row r="262" spans="1:34" s="1558" customFormat="1" ht="0.75" hidden="1" customHeight="1">
      <c r="A262" s="1700"/>
      <c r="B262" s="1700"/>
      <c r="C262" s="305" t="s">
        <v>1359</v>
      </c>
      <c r="D262" s="2723"/>
      <c r="E262" s="2461"/>
      <c r="F262" s="2616"/>
      <c r="G262" s="336"/>
      <c r="H262" s="1423"/>
      <c r="I262" s="587"/>
      <c r="J262" s="507"/>
      <c r="K262" s="1423"/>
      <c r="L262" s="151"/>
      <c r="M262" s="278"/>
      <c r="N262" s="271"/>
      <c r="O262" s="1547"/>
      <c r="P262" s="1547"/>
      <c r="AH262" s="1554">
        <v>0</v>
      </c>
    </row>
    <row r="263" spans="1:34" s="1558" customFormat="1" ht="18.75" hidden="1" customHeight="1">
      <c r="A263" s="1700" t="s">
        <v>289</v>
      </c>
      <c r="B263" s="1700" t="s">
        <v>290</v>
      </c>
      <c r="C263" s="305"/>
      <c r="D263" s="2723"/>
      <c r="E263" s="2461"/>
      <c r="F263" s="2616" t="str">
        <f>INDEX(PT_DIFFERENTIATION_VTAR,MATCH(A263,PT_DIFFERENTIATION_VTAR_ID,0))</f>
        <v>Тариф на транспортировку сточных вод</v>
      </c>
      <c r="G263" s="2692" t="str">
        <f>INDEX(PT_DIFFERENTIATION_NTAR,MATCH(B263,PT_DIFFERENTIATION_NTAR_ID,0))</f>
        <v/>
      </c>
      <c r="H263" s="1779"/>
      <c r="I263" s="1660"/>
      <c r="J263" s="1694"/>
      <c r="K263" s="1698"/>
      <c r="L263" s="1779" t="s">
        <v>325</v>
      </c>
      <c r="M263" s="278"/>
      <c r="N263" s="271"/>
      <c r="O263" s="1547"/>
      <c r="P263" s="1547"/>
      <c r="AH263" s="1554">
        <v>0</v>
      </c>
    </row>
    <row r="264" spans="1:34" s="1558" customFormat="1" ht="18.75" hidden="1" customHeight="1">
      <c r="A264" s="1700"/>
      <c r="B264" s="1700"/>
      <c r="C264" s="305" t="s">
        <v>1352</v>
      </c>
      <c r="D264" s="2723"/>
      <c r="E264" s="2461"/>
      <c r="F264" s="2616"/>
      <c r="G264" s="2692"/>
      <c r="H264" s="1423"/>
      <c r="I264" s="587" t="s">
        <v>1351</v>
      </c>
      <c r="J264" s="507"/>
      <c r="K264" s="1423"/>
      <c r="L264" s="151"/>
      <c r="M264" s="278"/>
      <c r="N264" s="271"/>
      <c r="O264" s="1547"/>
      <c r="P264" s="1547"/>
      <c r="AH264" s="1554">
        <v>0</v>
      </c>
    </row>
    <row r="265" spans="1:34" s="1558" customFormat="1" ht="0.75" hidden="1" customHeight="1">
      <c r="A265" s="1700"/>
      <c r="B265" s="1700"/>
      <c r="C265" s="305" t="s">
        <v>1359</v>
      </c>
      <c r="D265" s="2723"/>
      <c r="E265" s="2461"/>
      <c r="F265" s="2616"/>
      <c r="G265" s="336"/>
      <c r="H265" s="1423"/>
      <c r="I265" s="587"/>
      <c r="J265" s="507"/>
      <c r="K265" s="1423"/>
      <c r="L265" s="151"/>
      <c r="M265" s="278"/>
      <c r="N265" s="271"/>
      <c r="O265" s="1547"/>
      <c r="P265" s="1547"/>
      <c r="AH265" s="1554">
        <v>0</v>
      </c>
    </row>
    <row r="266" spans="1:34" s="1558" customFormat="1" ht="18.75" hidden="1" customHeight="1">
      <c r="A266" s="1700" t="s">
        <v>294</v>
      </c>
      <c r="B266" s="1700" t="s">
        <v>295</v>
      </c>
      <c r="C266" s="305"/>
      <c r="D266" s="2723"/>
      <c r="E266" s="2461"/>
      <c r="F266" s="2616" t="str">
        <f>INDEX(PT_DIFFERENTIATION_VTAR,MATCH(A266,PT_DIFFERENTIATION_VTAR_ID,0))</f>
        <v>Тариф на подключение (технологическое присоединение) к централизованной системе водоотведения</v>
      </c>
      <c r="G266" s="2692" t="str">
        <f>INDEX(PT_DIFFERENTIATION_NTAR,MATCH(B266,PT_DIFFERENTIATION_NTAR_ID,0))</f>
        <v/>
      </c>
      <c r="H266" s="1779"/>
      <c r="I266" s="1660"/>
      <c r="J266" s="1694"/>
      <c r="K266" s="1698"/>
      <c r="L266" s="1779" t="s">
        <v>325</v>
      </c>
      <c r="M266" s="278"/>
      <c r="N266" s="271"/>
      <c r="O266" s="1547"/>
      <c r="P266" s="1547"/>
      <c r="AH266" s="1554">
        <v>0</v>
      </c>
    </row>
    <row r="267" spans="1:34" s="1558" customFormat="1" ht="18.75" hidden="1" customHeight="1">
      <c r="A267" s="1700"/>
      <c r="B267" s="1700"/>
      <c r="C267" s="305" t="s">
        <v>1352</v>
      </c>
      <c r="D267" s="2723"/>
      <c r="E267" s="2461"/>
      <c r="F267" s="2616"/>
      <c r="G267" s="2692"/>
      <c r="H267" s="1423"/>
      <c r="I267" s="587" t="s">
        <v>1351</v>
      </c>
      <c r="J267" s="507"/>
      <c r="K267" s="1423"/>
      <c r="L267" s="151"/>
      <c r="M267" s="278"/>
      <c r="N267" s="271"/>
      <c r="O267" s="1547"/>
      <c r="P267" s="1547"/>
      <c r="AH267" s="1554">
        <v>0</v>
      </c>
    </row>
    <row r="268" spans="1:34" s="1558" customFormat="1" ht="1.1499999999999999" customHeight="1">
      <c r="A268" s="1700"/>
      <c r="B268" s="1700"/>
      <c r="C268" s="305" t="s">
        <v>1359</v>
      </c>
      <c r="D268" s="2723"/>
      <c r="E268" s="2461"/>
      <c r="F268" s="2616"/>
      <c r="G268" s="336"/>
      <c r="H268" s="1423"/>
      <c r="I268" s="587"/>
      <c r="J268" s="507"/>
      <c r="K268" s="1423"/>
      <c r="L268" s="151"/>
      <c r="M268" s="278"/>
      <c r="N268" s="271"/>
      <c r="O268" s="1547"/>
      <c r="P268" s="1547"/>
      <c r="AH268" s="1554">
        <v>1</v>
      </c>
    </row>
    <row r="269" spans="1:34" ht="27.4" customHeight="1">
      <c r="A269" s="1700"/>
      <c r="B269" s="1700"/>
      <c r="D269" s="312"/>
      <c r="E269" s="84" t="s">
        <v>93</v>
      </c>
      <c r="F269" s="272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722"/>
      <c r="H269" s="2722"/>
      <c r="I269" s="2722"/>
      <c r="J269" s="2722"/>
      <c r="K269" s="2722"/>
      <c r="L269" s="2722"/>
      <c r="M269" s="234"/>
      <c r="N269" s="271"/>
      <c r="AH269" s="310">
        <v>26</v>
      </c>
    </row>
    <row r="270" spans="1:34" s="1558" customFormat="1" ht="60.75" hidden="1" customHeight="1">
      <c r="A270" s="1700" t="s">
        <v>176</v>
      </c>
      <c r="B270" s="1700" t="s">
        <v>177</v>
      </c>
      <c r="C270" s="305"/>
      <c r="D270" s="2723"/>
      <c r="E270" s="2461"/>
      <c r="F270" s="261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692" t="str">
        <f>INDEX(PT_DIFFERENTIATION_NTAR,MATCH(B270,PT_DIFFERENTIATION_NTAR_ID,0))</f>
        <v/>
      </c>
      <c r="H270" s="1779"/>
      <c r="I270" s="1660"/>
      <c r="J270" s="1694"/>
      <c r="K270" s="1698"/>
      <c r="L270" s="1779" t="s">
        <v>325</v>
      </c>
      <c r="M270" s="242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47"/>
      <c r="P270" s="1547"/>
      <c r="AH270" s="1554">
        <v>0</v>
      </c>
    </row>
    <row r="271" spans="1:34" s="1558" customFormat="1" ht="18.75" hidden="1" customHeight="1">
      <c r="A271" s="1700"/>
      <c r="B271" s="1700"/>
      <c r="C271" s="305" t="s">
        <v>1352</v>
      </c>
      <c r="D271" s="2723"/>
      <c r="E271" s="2461"/>
      <c r="F271" s="2616"/>
      <c r="G271" s="2692"/>
      <c r="H271" s="1423"/>
      <c r="I271" s="587" t="s">
        <v>1351</v>
      </c>
      <c r="J271" s="507"/>
      <c r="K271" s="1423"/>
      <c r="L271" s="151"/>
      <c r="M271" s="2430"/>
      <c r="N271" s="271"/>
      <c r="O271" s="1547"/>
      <c r="P271" s="1547"/>
      <c r="AH271" s="1554">
        <v>0</v>
      </c>
    </row>
    <row r="272" spans="1:34" s="1558" customFormat="1" ht="0.75" hidden="1" customHeight="1">
      <c r="A272" s="1700"/>
      <c r="B272" s="1700"/>
      <c r="C272" s="305" t="s">
        <v>1359</v>
      </c>
      <c r="D272" s="2723"/>
      <c r="E272" s="2461"/>
      <c r="F272" s="2616"/>
      <c r="G272" s="336"/>
      <c r="H272" s="1423"/>
      <c r="I272" s="587"/>
      <c r="J272" s="507"/>
      <c r="K272" s="1423"/>
      <c r="L272" s="151"/>
      <c r="M272" s="2430"/>
      <c r="N272" s="271"/>
      <c r="O272" s="1547"/>
      <c r="P272" s="1547"/>
      <c r="AH272" s="1554">
        <v>0</v>
      </c>
    </row>
    <row r="273" spans="1:34" s="1558" customFormat="1" ht="45" hidden="1" customHeight="1">
      <c r="A273" s="1700" t="s">
        <v>181</v>
      </c>
      <c r="B273" s="1700" t="s">
        <v>182</v>
      </c>
      <c r="C273" s="305"/>
      <c r="D273" s="2723"/>
      <c r="E273" s="2461"/>
      <c r="F273" s="2616" t="str">
        <f>INDEX(PT_DIFFERENTIATION_VTAR,MATCH(A273,PT_DIFFERENTIATION_VTAR_ID,0))</f>
        <v/>
      </c>
      <c r="G273" s="2692" t="str">
        <f>INDEX(PT_DIFFERENTIATION_NTAR,MATCH(B273,PT_DIFFERENTIATION_NTAR_ID,0))</f>
        <v/>
      </c>
      <c r="H273" s="1779"/>
      <c r="I273" s="1660"/>
      <c r="J273" s="1694"/>
      <c r="K273" s="1698"/>
      <c r="L273" s="1779" t="s">
        <v>325</v>
      </c>
      <c r="M273" s="2431"/>
      <c r="N273" s="271"/>
      <c r="O273" s="1547"/>
      <c r="P273" s="1547"/>
      <c r="AH273" s="1554">
        <v>0</v>
      </c>
    </row>
    <row r="274" spans="1:34" s="1558" customFormat="1" ht="18.75" hidden="1" customHeight="1">
      <c r="A274" s="1700"/>
      <c r="B274" s="1700"/>
      <c r="C274" s="305" t="s">
        <v>1352</v>
      </c>
      <c r="D274" s="2723"/>
      <c r="E274" s="2461"/>
      <c r="F274" s="2616"/>
      <c r="G274" s="2692"/>
      <c r="H274" s="1423"/>
      <c r="I274" s="587" t="s">
        <v>1351</v>
      </c>
      <c r="J274" s="507"/>
      <c r="K274" s="1423"/>
      <c r="L274" s="151"/>
      <c r="M274" s="1778"/>
      <c r="N274" s="271"/>
      <c r="O274" s="1547"/>
      <c r="P274" s="1547"/>
      <c r="AH274" s="1554">
        <v>0</v>
      </c>
    </row>
    <row r="275" spans="1:34" s="1558" customFormat="1" ht="0.75" hidden="1" customHeight="1">
      <c r="A275" s="1700"/>
      <c r="B275" s="1700"/>
      <c r="C275" s="305" t="s">
        <v>1359</v>
      </c>
      <c r="D275" s="2723"/>
      <c r="E275" s="2461"/>
      <c r="F275" s="2616"/>
      <c r="G275" s="336"/>
      <c r="H275" s="1423"/>
      <c r="I275" s="587"/>
      <c r="J275" s="507"/>
      <c r="K275" s="1423"/>
      <c r="L275" s="151"/>
      <c r="M275" s="278"/>
      <c r="N275" s="271"/>
      <c r="O275" s="1547"/>
      <c r="P275" s="1547"/>
      <c r="AH275" s="1554">
        <v>0</v>
      </c>
    </row>
    <row r="276" spans="1:34" s="1558" customFormat="1" ht="45" hidden="1" customHeight="1">
      <c r="A276" s="1700" t="s">
        <v>188</v>
      </c>
      <c r="B276" s="1700" t="s">
        <v>189</v>
      </c>
      <c r="C276" s="305"/>
      <c r="D276" s="2723"/>
      <c r="E276" s="2461"/>
      <c r="F276" s="261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692" t="str">
        <f>INDEX(PT_DIFFERENTIATION_NTAR,MATCH(B276,PT_DIFFERENTIATION_NTAR_ID,0))</f>
        <v/>
      </c>
      <c r="H276" s="1779"/>
      <c r="I276" s="1660"/>
      <c r="J276" s="1694"/>
      <c r="K276" s="1698"/>
      <c r="L276" s="1779" t="s">
        <v>325</v>
      </c>
      <c r="M276" s="278"/>
      <c r="N276" s="271"/>
      <c r="O276" s="1547"/>
      <c r="P276" s="1547"/>
      <c r="AH276" s="1554">
        <v>0</v>
      </c>
    </row>
    <row r="277" spans="1:34" s="1558" customFormat="1" ht="18.75" hidden="1" customHeight="1">
      <c r="A277" s="1700"/>
      <c r="B277" s="1700"/>
      <c r="C277" s="305" t="s">
        <v>1352</v>
      </c>
      <c r="D277" s="2723"/>
      <c r="E277" s="2461"/>
      <c r="F277" s="2616"/>
      <c r="G277" s="2692"/>
      <c r="H277" s="1423"/>
      <c r="I277" s="587" t="s">
        <v>1351</v>
      </c>
      <c r="J277" s="507"/>
      <c r="K277" s="1423"/>
      <c r="L277" s="151"/>
      <c r="M277" s="278"/>
      <c r="N277" s="271"/>
      <c r="O277" s="1547"/>
      <c r="P277" s="1547"/>
      <c r="AH277" s="1554">
        <v>0</v>
      </c>
    </row>
    <row r="278" spans="1:34" s="1558" customFormat="1" ht="0.75" hidden="1" customHeight="1">
      <c r="A278" s="1700"/>
      <c r="B278" s="1700"/>
      <c r="C278" s="305" t="s">
        <v>1359</v>
      </c>
      <c r="D278" s="2723"/>
      <c r="E278" s="2461"/>
      <c r="F278" s="2616"/>
      <c r="G278" s="336"/>
      <c r="H278" s="1423"/>
      <c r="I278" s="587"/>
      <c r="J278" s="507"/>
      <c r="K278" s="1423"/>
      <c r="L278" s="151"/>
      <c r="M278" s="278"/>
      <c r="N278" s="271"/>
      <c r="O278" s="1547"/>
      <c r="P278" s="1547"/>
      <c r="AH278" s="1554">
        <v>0</v>
      </c>
    </row>
    <row r="279" spans="1:34" s="1558" customFormat="1" ht="45" hidden="1" customHeight="1">
      <c r="A279" s="1700" t="s">
        <v>194</v>
      </c>
      <c r="B279" s="1700" t="s">
        <v>195</v>
      </c>
      <c r="C279" s="305"/>
      <c r="D279" s="2723"/>
      <c r="E279" s="2461"/>
      <c r="F279" s="261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692" t="str">
        <f>INDEX(PT_DIFFERENTIATION_NTAR,MATCH(B279,PT_DIFFERENTIATION_NTAR_ID,0))</f>
        <v/>
      </c>
      <c r="H279" s="1779"/>
      <c r="I279" s="1660"/>
      <c r="J279" s="1694"/>
      <c r="K279" s="1698"/>
      <c r="L279" s="1779" t="s">
        <v>325</v>
      </c>
      <c r="M279" s="278"/>
      <c r="N279" s="271"/>
      <c r="O279" s="1547"/>
      <c r="P279" s="1547"/>
      <c r="AH279" s="1554">
        <v>0</v>
      </c>
    </row>
    <row r="280" spans="1:34" s="1558" customFormat="1" ht="18.75" hidden="1" customHeight="1">
      <c r="A280" s="1700"/>
      <c r="B280" s="1700"/>
      <c r="C280" s="305" t="s">
        <v>1352</v>
      </c>
      <c r="D280" s="2723"/>
      <c r="E280" s="2461"/>
      <c r="F280" s="2616"/>
      <c r="G280" s="2692"/>
      <c r="H280" s="1423"/>
      <c r="I280" s="587" t="s">
        <v>1351</v>
      </c>
      <c r="J280" s="507"/>
      <c r="K280" s="1423"/>
      <c r="L280" s="151"/>
      <c r="M280" s="278"/>
      <c r="N280" s="271"/>
      <c r="O280" s="1547"/>
      <c r="P280" s="1547"/>
      <c r="AH280" s="1554">
        <v>0</v>
      </c>
    </row>
    <row r="281" spans="1:34" s="1558" customFormat="1" ht="0.75" hidden="1" customHeight="1">
      <c r="A281" s="1700"/>
      <c r="B281" s="1700"/>
      <c r="C281" s="305" t="s">
        <v>1359</v>
      </c>
      <c r="D281" s="2723"/>
      <c r="E281" s="2461"/>
      <c r="F281" s="2616"/>
      <c r="G281" s="336"/>
      <c r="H281" s="1423"/>
      <c r="I281" s="587"/>
      <c r="J281" s="507"/>
      <c r="K281" s="1423"/>
      <c r="L281" s="151"/>
      <c r="M281" s="278"/>
      <c r="N281" s="271"/>
      <c r="O281" s="1547"/>
      <c r="P281" s="1547"/>
      <c r="AH281" s="1554">
        <v>0</v>
      </c>
    </row>
    <row r="282" spans="1:34" s="1558" customFormat="1" ht="18.75" hidden="1" customHeight="1">
      <c r="A282" s="1700" t="s">
        <v>200</v>
      </c>
      <c r="B282" s="1700" t="s">
        <v>201</v>
      </c>
      <c r="C282" s="305"/>
      <c r="D282" s="2723"/>
      <c r="E282" s="2461"/>
      <c r="F282" s="2616" t="str">
        <f>INDEX(PT_DIFFERENTIATION_VTAR,MATCH(A282,PT_DIFFERENTIATION_VTAR_ID,0))</f>
        <v>Тарифы на услуги по передаче тепловой энергии</v>
      </c>
      <c r="G282" s="2692" t="str">
        <f>INDEX(PT_DIFFERENTIATION_NTAR,MATCH(B282,PT_DIFFERENTIATION_NTAR_ID,0))</f>
        <v/>
      </c>
      <c r="H282" s="1779"/>
      <c r="I282" s="1660"/>
      <c r="J282" s="1694"/>
      <c r="K282" s="1698"/>
      <c r="L282" s="1779" t="s">
        <v>325</v>
      </c>
      <c r="M282" s="278"/>
      <c r="N282" s="271"/>
      <c r="O282" s="1547"/>
      <c r="P282" s="1547"/>
      <c r="AH282" s="1554">
        <v>0</v>
      </c>
    </row>
    <row r="283" spans="1:34" s="1558" customFormat="1" ht="18.75" hidden="1" customHeight="1">
      <c r="A283" s="1700"/>
      <c r="B283" s="1700"/>
      <c r="C283" s="305" t="s">
        <v>1352</v>
      </c>
      <c r="D283" s="2723"/>
      <c r="E283" s="2461"/>
      <c r="F283" s="2616"/>
      <c r="G283" s="2692"/>
      <c r="H283" s="1423"/>
      <c r="I283" s="587" t="s">
        <v>1351</v>
      </c>
      <c r="J283" s="507"/>
      <c r="K283" s="1423"/>
      <c r="L283" s="151"/>
      <c r="M283" s="278"/>
      <c r="N283" s="271"/>
      <c r="O283" s="1547"/>
      <c r="P283" s="1547"/>
      <c r="AH283" s="1554">
        <v>0</v>
      </c>
    </row>
    <row r="284" spans="1:34" s="1558" customFormat="1" ht="0.75" hidden="1" customHeight="1">
      <c r="A284" s="1700"/>
      <c r="B284" s="1700"/>
      <c r="C284" s="305" t="s">
        <v>1359</v>
      </c>
      <c r="D284" s="2723"/>
      <c r="E284" s="2461"/>
      <c r="F284" s="2616"/>
      <c r="G284" s="336"/>
      <c r="H284" s="1423"/>
      <c r="I284" s="587"/>
      <c r="J284" s="507"/>
      <c r="K284" s="1423"/>
      <c r="L284" s="151"/>
      <c r="M284" s="278"/>
      <c r="N284" s="271"/>
      <c r="O284" s="1547"/>
      <c r="P284" s="1547"/>
      <c r="AH284" s="1554">
        <v>0</v>
      </c>
    </row>
    <row r="285" spans="1:34" s="1558" customFormat="1" ht="18.75" hidden="1" customHeight="1">
      <c r="A285" s="1700" t="s">
        <v>206</v>
      </c>
      <c r="B285" s="1700" t="s">
        <v>207</v>
      </c>
      <c r="C285" s="305"/>
      <c r="D285" s="2723"/>
      <c r="E285" s="2461"/>
      <c r="F285" s="2616" t="str">
        <f>INDEX(PT_DIFFERENTIATION_VTAR,MATCH(A285,PT_DIFFERENTIATION_VTAR_ID,0))</f>
        <v>Тарифы на услуги по передаче теплоносителя</v>
      </c>
      <c r="G285" s="2692" t="str">
        <f>INDEX(PT_DIFFERENTIATION_NTAR,MATCH(B285,PT_DIFFERENTIATION_NTAR_ID,0))</f>
        <v/>
      </c>
      <c r="H285" s="1779"/>
      <c r="I285" s="1660"/>
      <c r="J285" s="1694"/>
      <c r="K285" s="1698"/>
      <c r="L285" s="1779" t="s">
        <v>325</v>
      </c>
      <c r="M285" s="278"/>
      <c r="N285" s="271"/>
      <c r="O285" s="1547"/>
      <c r="P285" s="1547"/>
      <c r="AH285" s="1554">
        <v>0</v>
      </c>
    </row>
    <row r="286" spans="1:34" s="1558" customFormat="1" ht="18.75" hidden="1" customHeight="1">
      <c r="A286" s="1700"/>
      <c r="B286" s="1700"/>
      <c r="C286" s="305" t="s">
        <v>1352</v>
      </c>
      <c r="D286" s="2723"/>
      <c r="E286" s="2461"/>
      <c r="F286" s="2616"/>
      <c r="G286" s="2692"/>
      <c r="H286" s="1423"/>
      <c r="I286" s="587" t="s">
        <v>1351</v>
      </c>
      <c r="J286" s="507"/>
      <c r="K286" s="1423"/>
      <c r="L286" s="151"/>
      <c r="M286" s="278"/>
      <c r="N286" s="271"/>
      <c r="O286" s="1547"/>
      <c r="P286" s="1547"/>
      <c r="AH286" s="1554">
        <v>0</v>
      </c>
    </row>
    <row r="287" spans="1:34" s="1558" customFormat="1" ht="0.75" hidden="1" customHeight="1">
      <c r="A287" s="1700"/>
      <c r="B287" s="1700"/>
      <c r="C287" s="305" t="s">
        <v>1359</v>
      </c>
      <c r="D287" s="2723"/>
      <c r="E287" s="2461"/>
      <c r="F287" s="2616"/>
      <c r="G287" s="336"/>
      <c r="H287" s="1423"/>
      <c r="I287" s="587"/>
      <c r="J287" s="507"/>
      <c r="K287" s="1423"/>
      <c r="L287" s="151"/>
      <c r="M287" s="278"/>
      <c r="N287" s="271"/>
      <c r="O287" s="1547"/>
      <c r="P287" s="1547"/>
      <c r="AH287" s="1554">
        <v>0</v>
      </c>
    </row>
    <row r="288" spans="1:34" s="1558" customFormat="1" ht="18.75" hidden="1" customHeight="1">
      <c r="A288" s="1700" t="s">
        <v>212</v>
      </c>
      <c r="B288" s="1700" t="s">
        <v>213</v>
      </c>
      <c r="C288" s="305"/>
      <c r="D288" s="2723"/>
      <c r="E288" s="2461"/>
      <c r="F288" s="261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692" t="str">
        <f>INDEX(PT_DIFFERENTIATION_NTAR,MATCH(B288,PT_DIFFERENTIATION_NTAR_ID,0))</f>
        <v/>
      </c>
      <c r="H288" s="1779"/>
      <c r="I288" s="1660"/>
      <c r="J288" s="1694"/>
      <c r="K288" s="1698"/>
      <c r="L288" s="1779" t="s">
        <v>325</v>
      </c>
      <c r="M288" s="278"/>
      <c r="N288" s="271"/>
      <c r="O288" s="1547"/>
      <c r="P288" s="1547"/>
      <c r="AH288" s="1554">
        <v>0</v>
      </c>
    </row>
    <row r="289" spans="1:34" s="1558" customFormat="1" ht="18.75" hidden="1" customHeight="1">
      <c r="A289" s="1700"/>
      <c r="B289" s="1700"/>
      <c r="C289" s="305" t="s">
        <v>1352</v>
      </c>
      <c r="D289" s="2723"/>
      <c r="E289" s="2461"/>
      <c r="F289" s="2616"/>
      <c r="G289" s="2692"/>
      <c r="H289" s="1423"/>
      <c r="I289" s="587" t="s">
        <v>1351</v>
      </c>
      <c r="J289" s="507"/>
      <c r="K289" s="1423"/>
      <c r="L289" s="151"/>
      <c r="M289" s="278"/>
      <c r="N289" s="271"/>
      <c r="O289" s="1547"/>
      <c r="P289" s="1547"/>
      <c r="AH289" s="1554">
        <v>0</v>
      </c>
    </row>
    <row r="290" spans="1:34" s="1558" customFormat="1" ht="0.75" hidden="1" customHeight="1">
      <c r="A290" s="1700"/>
      <c r="B290" s="1700"/>
      <c r="C290" s="305" t="s">
        <v>1359</v>
      </c>
      <c r="D290" s="2723"/>
      <c r="E290" s="2461"/>
      <c r="F290" s="2616"/>
      <c r="G290" s="336"/>
      <c r="H290" s="1423"/>
      <c r="I290" s="587"/>
      <c r="J290" s="507"/>
      <c r="K290" s="1423"/>
      <c r="L290" s="151"/>
      <c r="M290" s="278"/>
      <c r="N290" s="271"/>
      <c r="O290" s="1547"/>
      <c r="P290" s="1547"/>
      <c r="AH290" s="1554">
        <v>0</v>
      </c>
    </row>
    <row r="291" spans="1:34" s="1558" customFormat="1" ht="18.75" hidden="1" customHeight="1">
      <c r="A291" s="1700" t="s">
        <v>218</v>
      </c>
      <c r="B291" s="1700" t="s">
        <v>219</v>
      </c>
      <c r="C291" s="305"/>
      <c r="D291" s="2723"/>
      <c r="E291" s="2461"/>
      <c r="F291" s="2616" t="str">
        <f>INDEX(PT_DIFFERENTIATION_VTAR,MATCH(A291,PT_DIFFERENTIATION_VTAR_ID,0))</f>
        <v>Плата за подключение (технологическое присоединение) к системе теплоснабжения</v>
      </c>
      <c r="G291" s="2692" t="str">
        <f>INDEX(PT_DIFFERENTIATION_NTAR,MATCH(B291,PT_DIFFERENTIATION_NTAR_ID,0))</f>
        <v/>
      </c>
      <c r="H291" s="1779"/>
      <c r="I291" s="1660"/>
      <c r="J291" s="1694"/>
      <c r="K291" s="1698"/>
      <c r="L291" s="1779" t="s">
        <v>325</v>
      </c>
      <c r="M291" s="278"/>
      <c r="N291" s="271"/>
      <c r="O291" s="1547"/>
      <c r="P291" s="1547"/>
      <c r="AH291" s="1554">
        <v>0</v>
      </c>
    </row>
    <row r="292" spans="1:34" s="1558" customFormat="1" ht="18.75" hidden="1" customHeight="1">
      <c r="A292" s="1700"/>
      <c r="B292" s="1700"/>
      <c r="C292" s="305" t="s">
        <v>1352</v>
      </c>
      <c r="D292" s="2723"/>
      <c r="E292" s="2461"/>
      <c r="F292" s="2616"/>
      <c r="G292" s="2692"/>
      <c r="H292" s="1423"/>
      <c r="I292" s="587" t="s">
        <v>1351</v>
      </c>
      <c r="J292" s="507"/>
      <c r="K292" s="1423"/>
      <c r="L292" s="151"/>
      <c r="M292" s="278"/>
      <c r="N292" s="271"/>
      <c r="O292" s="1547"/>
      <c r="P292" s="1547"/>
      <c r="AH292" s="1554">
        <v>0</v>
      </c>
    </row>
    <row r="293" spans="1:34" s="1558" customFormat="1" ht="0.75" hidden="1" customHeight="1">
      <c r="A293" s="1700"/>
      <c r="B293" s="1700"/>
      <c r="C293" s="305" t="s">
        <v>1359</v>
      </c>
      <c r="D293" s="2723"/>
      <c r="E293" s="2461"/>
      <c r="F293" s="2616"/>
      <c r="G293" s="336"/>
      <c r="H293" s="1423"/>
      <c r="I293" s="587"/>
      <c r="J293" s="507"/>
      <c r="K293" s="1423"/>
      <c r="L293" s="151"/>
      <c r="M293" s="278"/>
      <c r="N293" s="271"/>
      <c r="O293" s="1547"/>
      <c r="P293" s="1547"/>
      <c r="AH293" s="1554">
        <v>0</v>
      </c>
    </row>
    <row r="294" spans="1:34" s="1558" customFormat="1" ht="18.75" hidden="1" customHeight="1">
      <c r="A294" s="1700" t="s">
        <v>224</v>
      </c>
      <c r="B294" s="1700" t="s">
        <v>225</v>
      </c>
      <c r="C294" s="305"/>
      <c r="D294" s="2723"/>
      <c r="E294" s="2461"/>
      <c r="F294" s="2616" t="str">
        <f>INDEX(PT_DIFFERENTIATION_VTAR,MATCH(A294,PT_DIFFERENTIATION_VTAR_ID,0))</f>
        <v>Плата за подключение (технологическое присоединение) к системе теплоснабжения (индивидуальная)</v>
      </c>
      <c r="G294" s="2692" t="str">
        <f>INDEX(PT_DIFFERENTIATION_NTAR,MATCH(B294,PT_DIFFERENTIATION_NTAR_ID,0))</f>
        <v/>
      </c>
      <c r="H294" s="1903"/>
      <c r="I294" s="1660"/>
      <c r="J294" s="1694"/>
      <c r="K294" s="1698"/>
      <c r="L294" s="1903" t="s">
        <v>325</v>
      </c>
      <c r="M294" s="278"/>
      <c r="N294" s="271"/>
      <c r="O294" s="1547"/>
      <c r="P294" s="1547"/>
      <c r="AH294" s="1554">
        <v>0</v>
      </c>
    </row>
    <row r="295" spans="1:34" s="1558" customFormat="1" ht="18.75" hidden="1" customHeight="1">
      <c r="A295" s="1700"/>
      <c r="B295" s="1700"/>
      <c r="C295" s="305" t="s">
        <v>1352</v>
      </c>
      <c r="D295" s="2723"/>
      <c r="E295" s="2461"/>
      <c r="F295" s="2616"/>
      <c r="G295" s="2692"/>
      <c r="H295" s="1423"/>
      <c r="I295" s="587" t="s">
        <v>1351</v>
      </c>
      <c r="J295" s="507"/>
      <c r="K295" s="1423"/>
      <c r="L295" s="151"/>
      <c r="M295" s="278"/>
      <c r="N295" s="271"/>
      <c r="O295" s="1547"/>
      <c r="P295" s="1547"/>
      <c r="AH295" s="1554">
        <v>0</v>
      </c>
    </row>
    <row r="296" spans="1:34" s="1558" customFormat="1" ht="0.75" hidden="1" customHeight="1">
      <c r="A296" s="1700"/>
      <c r="B296" s="1700"/>
      <c r="C296" s="305" t="s">
        <v>1359</v>
      </c>
      <c r="D296" s="2723"/>
      <c r="E296" s="2461"/>
      <c r="F296" s="2616"/>
      <c r="G296" s="336"/>
      <c r="H296" s="1423"/>
      <c r="I296" s="587"/>
      <c r="J296" s="507"/>
      <c r="K296" s="1423"/>
      <c r="L296" s="151"/>
      <c r="M296" s="278"/>
      <c r="N296" s="271"/>
      <c r="O296" s="1547"/>
      <c r="P296" s="1547"/>
      <c r="AH296" s="1554">
        <v>0</v>
      </c>
    </row>
    <row r="297" spans="1:34" s="1558" customFormat="1" ht="18.75" hidden="1" customHeight="1">
      <c r="A297" s="1700" t="s">
        <v>244</v>
      </c>
      <c r="B297" s="1700" t="s">
        <v>245</v>
      </c>
      <c r="C297" s="305"/>
      <c r="D297" s="2723"/>
      <c r="E297" s="2461"/>
      <c r="F297" s="2616" t="str">
        <f>INDEX(PT_DIFFERENTIATION_VTAR,MATCH(A297,PT_DIFFERENTIATION_VTAR_ID,0))</f>
        <v>Тариф на питьевую воду (питьевое водоснабжение)</v>
      </c>
      <c r="G297" s="2692" t="str">
        <f>INDEX(PT_DIFFERENTIATION_NTAR,MATCH(B297,PT_DIFFERENTIATION_NTAR_ID,0))</f>
        <v/>
      </c>
      <c r="H297" s="1779"/>
      <c r="I297" s="1660"/>
      <c r="J297" s="1694"/>
      <c r="K297" s="1698"/>
      <c r="L297" s="1779" t="s">
        <v>325</v>
      </c>
      <c r="M297" s="278"/>
      <c r="N297" s="271"/>
      <c r="O297" s="1547"/>
      <c r="P297" s="1547"/>
      <c r="AH297" s="1554">
        <v>0</v>
      </c>
    </row>
    <row r="298" spans="1:34" s="1558" customFormat="1" ht="18.75" hidden="1" customHeight="1">
      <c r="A298" s="1700"/>
      <c r="B298" s="1700"/>
      <c r="C298" s="305" t="s">
        <v>1352</v>
      </c>
      <c r="D298" s="2723"/>
      <c r="E298" s="2461"/>
      <c r="F298" s="2616"/>
      <c r="G298" s="2692"/>
      <c r="H298" s="1423"/>
      <c r="I298" s="587" t="s">
        <v>1351</v>
      </c>
      <c r="J298" s="507"/>
      <c r="K298" s="1423"/>
      <c r="L298" s="151"/>
      <c r="M298" s="278"/>
      <c r="N298" s="271"/>
      <c r="O298" s="1547"/>
      <c r="P298" s="1547"/>
      <c r="AH298" s="1554">
        <v>0</v>
      </c>
    </row>
    <row r="299" spans="1:34" s="1558" customFormat="1" ht="0.75" hidden="1" customHeight="1">
      <c r="A299" s="1700"/>
      <c r="B299" s="1700"/>
      <c r="C299" s="305" t="s">
        <v>1359</v>
      </c>
      <c r="D299" s="2723"/>
      <c r="E299" s="2461"/>
      <c r="F299" s="2616"/>
      <c r="G299" s="336"/>
      <c r="H299" s="1423"/>
      <c r="I299" s="587"/>
      <c r="J299" s="507"/>
      <c r="K299" s="1423"/>
      <c r="L299" s="151"/>
      <c r="M299" s="278"/>
      <c r="N299" s="271"/>
      <c r="O299" s="1547"/>
      <c r="P299" s="1547"/>
      <c r="AH299" s="1554">
        <v>0</v>
      </c>
    </row>
    <row r="300" spans="1:34" s="1558" customFormat="1" ht="18.75" hidden="1" customHeight="1">
      <c r="A300" s="1700" t="s">
        <v>249</v>
      </c>
      <c r="B300" s="1700" t="s">
        <v>250</v>
      </c>
      <c r="C300" s="305"/>
      <c r="D300" s="2723"/>
      <c r="E300" s="2461"/>
      <c r="F300" s="2616" t="str">
        <f>INDEX(PT_DIFFERENTIATION_VTAR,MATCH(A300,PT_DIFFERENTIATION_VTAR_ID,0))</f>
        <v>Тариф на техническую воду</v>
      </c>
      <c r="G300" s="2692" t="str">
        <f>INDEX(PT_DIFFERENTIATION_NTAR,MATCH(B300,PT_DIFFERENTIATION_NTAR_ID,0))</f>
        <v/>
      </c>
      <c r="H300" s="1779"/>
      <c r="I300" s="1660"/>
      <c r="J300" s="1694"/>
      <c r="K300" s="1698"/>
      <c r="L300" s="1779" t="s">
        <v>325</v>
      </c>
      <c r="M300" s="278"/>
      <c r="N300" s="271"/>
      <c r="O300" s="1547"/>
      <c r="P300" s="1547"/>
      <c r="AH300" s="1554">
        <v>0</v>
      </c>
    </row>
    <row r="301" spans="1:34" s="1558" customFormat="1" ht="18.75" hidden="1" customHeight="1">
      <c r="A301" s="1700"/>
      <c r="B301" s="1700"/>
      <c r="C301" s="305" t="s">
        <v>1352</v>
      </c>
      <c r="D301" s="2723"/>
      <c r="E301" s="2461"/>
      <c r="F301" s="2616"/>
      <c r="G301" s="2692"/>
      <c r="H301" s="1423"/>
      <c r="I301" s="587" t="s">
        <v>1351</v>
      </c>
      <c r="J301" s="507"/>
      <c r="K301" s="1423"/>
      <c r="L301" s="151"/>
      <c r="M301" s="278"/>
      <c r="N301" s="271"/>
      <c r="O301" s="1547"/>
      <c r="P301" s="1547"/>
      <c r="AH301" s="1554">
        <v>0</v>
      </c>
    </row>
    <row r="302" spans="1:34" s="1558" customFormat="1" ht="0.75" hidden="1" customHeight="1">
      <c r="A302" s="1700"/>
      <c r="B302" s="1700"/>
      <c r="C302" s="305" t="s">
        <v>1359</v>
      </c>
      <c r="D302" s="2723"/>
      <c r="E302" s="2461"/>
      <c r="F302" s="2616"/>
      <c r="G302" s="336"/>
      <c r="H302" s="1423"/>
      <c r="I302" s="587"/>
      <c r="J302" s="507"/>
      <c r="K302" s="1423"/>
      <c r="L302" s="151"/>
      <c r="M302" s="278"/>
      <c r="N302" s="271"/>
      <c r="O302" s="1547"/>
      <c r="P302" s="1547"/>
      <c r="AH302" s="1554">
        <v>0</v>
      </c>
    </row>
    <row r="303" spans="1:34" s="1558" customFormat="1" ht="18.75" hidden="1" customHeight="1">
      <c r="A303" s="1700" t="s">
        <v>254</v>
      </c>
      <c r="B303" s="1700" t="s">
        <v>255</v>
      </c>
      <c r="C303" s="305"/>
      <c r="D303" s="2723"/>
      <c r="E303" s="2461"/>
      <c r="F303" s="2616" t="str">
        <f>INDEX(PT_DIFFERENTIATION_VTAR,MATCH(A303,PT_DIFFERENTIATION_VTAR_ID,0))</f>
        <v>Тариф на транспортировку воды</v>
      </c>
      <c r="G303" s="2692" t="str">
        <f>INDEX(PT_DIFFERENTIATION_NTAR,MATCH(B303,PT_DIFFERENTIATION_NTAR_ID,0))</f>
        <v/>
      </c>
      <c r="H303" s="1779"/>
      <c r="I303" s="1660"/>
      <c r="J303" s="1694"/>
      <c r="K303" s="1698"/>
      <c r="L303" s="1779" t="s">
        <v>325</v>
      </c>
      <c r="M303" s="278"/>
      <c r="N303" s="271"/>
      <c r="O303" s="1547"/>
      <c r="P303" s="1547"/>
      <c r="AH303" s="1554">
        <v>0</v>
      </c>
    </row>
    <row r="304" spans="1:34" s="1558" customFormat="1" ht="18.75" hidden="1" customHeight="1">
      <c r="A304" s="1700"/>
      <c r="B304" s="1700"/>
      <c r="C304" s="305" t="s">
        <v>1352</v>
      </c>
      <c r="D304" s="2723"/>
      <c r="E304" s="2461"/>
      <c r="F304" s="2616"/>
      <c r="G304" s="2692"/>
      <c r="H304" s="1423"/>
      <c r="I304" s="587" t="s">
        <v>1351</v>
      </c>
      <c r="J304" s="507"/>
      <c r="K304" s="1423"/>
      <c r="L304" s="151"/>
      <c r="M304" s="278"/>
      <c r="N304" s="271"/>
      <c r="O304" s="1547"/>
      <c r="P304" s="1547"/>
      <c r="AH304" s="1554">
        <v>0</v>
      </c>
    </row>
    <row r="305" spans="1:34" s="1558" customFormat="1" ht="0.75" hidden="1" customHeight="1">
      <c r="A305" s="1700"/>
      <c r="B305" s="1700"/>
      <c r="C305" s="305" t="s">
        <v>1359</v>
      </c>
      <c r="D305" s="2723"/>
      <c r="E305" s="2461"/>
      <c r="F305" s="2616"/>
      <c r="G305" s="336"/>
      <c r="H305" s="1423"/>
      <c r="I305" s="587"/>
      <c r="J305" s="507"/>
      <c r="K305" s="1423"/>
      <c r="L305" s="151"/>
      <c r="M305" s="278"/>
      <c r="N305" s="271"/>
      <c r="O305" s="1547"/>
      <c r="P305" s="1547"/>
      <c r="AH305" s="1554">
        <v>0</v>
      </c>
    </row>
    <row r="306" spans="1:34" s="1558" customFormat="1" ht="18.75" hidden="1" customHeight="1">
      <c r="A306" s="1700" t="s">
        <v>259</v>
      </c>
      <c r="B306" s="1700" t="s">
        <v>260</v>
      </c>
      <c r="C306" s="305"/>
      <c r="D306" s="2723"/>
      <c r="E306" s="2461"/>
      <c r="F306" s="2616" t="str">
        <f>INDEX(PT_DIFFERENTIATION_VTAR,MATCH(A306,PT_DIFFERENTIATION_VTAR_ID,0))</f>
        <v>Тариф на подвоз воды</v>
      </c>
      <c r="G306" s="2692" t="str">
        <f>INDEX(PT_DIFFERENTIATION_NTAR,MATCH(B306,PT_DIFFERENTIATION_NTAR_ID,0))</f>
        <v/>
      </c>
      <c r="H306" s="1779"/>
      <c r="I306" s="1660"/>
      <c r="J306" s="1694"/>
      <c r="K306" s="1698"/>
      <c r="L306" s="1779" t="s">
        <v>325</v>
      </c>
      <c r="M306" s="278"/>
      <c r="N306" s="271"/>
      <c r="O306" s="1547"/>
      <c r="P306" s="1547"/>
      <c r="AH306" s="1554">
        <v>0</v>
      </c>
    </row>
    <row r="307" spans="1:34" s="1558" customFormat="1" ht="18.75" hidden="1" customHeight="1">
      <c r="A307" s="1700"/>
      <c r="B307" s="1700"/>
      <c r="C307" s="305" t="s">
        <v>1352</v>
      </c>
      <c r="D307" s="2723"/>
      <c r="E307" s="2461"/>
      <c r="F307" s="2616"/>
      <c r="G307" s="2692"/>
      <c r="H307" s="1423"/>
      <c r="I307" s="587" t="s">
        <v>1351</v>
      </c>
      <c r="J307" s="507"/>
      <c r="K307" s="1423"/>
      <c r="L307" s="151"/>
      <c r="M307" s="278"/>
      <c r="N307" s="271"/>
      <c r="O307" s="1547"/>
      <c r="P307" s="1547"/>
      <c r="AH307" s="1554">
        <v>0</v>
      </c>
    </row>
    <row r="308" spans="1:34" s="1558" customFormat="1" ht="0.75" hidden="1" customHeight="1">
      <c r="A308" s="1700"/>
      <c r="B308" s="1700"/>
      <c r="C308" s="305" t="s">
        <v>1359</v>
      </c>
      <c r="D308" s="2723"/>
      <c r="E308" s="2461"/>
      <c r="F308" s="2616"/>
      <c r="G308" s="336"/>
      <c r="H308" s="1423"/>
      <c r="I308" s="587"/>
      <c r="J308" s="507"/>
      <c r="K308" s="1423"/>
      <c r="L308" s="151"/>
      <c r="M308" s="278"/>
      <c r="N308" s="271"/>
      <c r="O308" s="1547"/>
      <c r="P308" s="1547"/>
      <c r="AH308" s="1554">
        <v>0</v>
      </c>
    </row>
    <row r="309" spans="1:34" s="1558" customFormat="1" ht="18.75" hidden="1" customHeight="1">
      <c r="A309" s="1700" t="s">
        <v>264</v>
      </c>
      <c r="B309" s="1700" t="s">
        <v>265</v>
      </c>
      <c r="C309" s="305"/>
      <c r="D309" s="2723"/>
      <c r="E309" s="2461"/>
      <c r="F309" s="261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692" t="str">
        <f>INDEX(PT_DIFFERENTIATION_NTAR,MATCH(B309,PT_DIFFERENTIATION_NTAR_ID,0))</f>
        <v/>
      </c>
      <c r="H309" s="1779"/>
      <c r="I309" s="1660"/>
      <c r="J309" s="1694"/>
      <c r="K309" s="1698"/>
      <c r="L309" s="1779" t="s">
        <v>325</v>
      </c>
      <c r="M309" s="278"/>
      <c r="N309" s="271"/>
      <c r="O309" s="1547"/>
      <c r="P309" s="1547"/>
      <c r="AH309" s="1554">
        <v>0</v>
      </c>
    </row>
    <row r="310" spans="1:34" s="1558" customFormat="1" ht="18.75" hidden="1" customHeight="1">
      <c r="A310" s="1700"/>
      <c r="B310" s="1700"/>
      <c r="C310" s="305" t="s">
        <v>1352</v>
      </c>
      <c r="D310" s="2723"/>
      <c r="E310" s="2461"/>
      <c r="F310" s="2616"/>
      <c r="G310" s="2692"/>
      <c r="H310" s="1423"/>
      <c r="I310" s="587" t="s">
        <v>1351</v>
      </c>
      <c r="J310" s="507"/>
      <c r="K310" s="1423"/>
      <c r="L310" s="151"/>
      <c r="M310" s="278"/>
      <c r="N310" s="271"/>
      <c r="O310" s="1547"/>
      <c r="P310" s="1547"/>
      <c r="AH310" s="1554">
        <v>0</v>
      </c>
    </row>
    <row r="311" spans="1:34" s="1558" customFormat="1" ht="0.75" hidden="1" customHeight="1">
      <c r="A311" s="1700"/>
      <c r="B311" s="1700"/>
      <c r="C311" s="305" t="s">
        <v>1359</v>
      </c>
      <c r="D311" s="2723"/>
      <c r="E311" s="2461"/>
      <c r="F311" s="2616"/>
      <c r="G311" s="336"/>
      <c r="H311" s="1423"/>
      <c r="I311" s="587"/>
      <c r="J311" s="507"/>
      <c r="K311" s="1423"/>
      <c r="L311" s="151"/>
      <c r="M311" s="278"/>
      <c r="N311" s="271"/>
      <c r="O311" s="1547"/>
      <c r="P311" s="1547"/>
      <c r="AH311" s="1554">
        <v>0</v>
      </c>
    </row>
    <row r="312" spans="1:34" s="1558" customFormat="1" ht="18.75" hidden="1" customHeight="1">
      <c r="A312" s="1700" t="s">
        <v>269</v>
      </c>
      <c r="B312" s="1700" t="s">
        <v>270</v>
      </c>
      <c r="C312" s="305"/>
      <c r="D312" s="2723"/>
      <c r="E312" s="2461"/>
      <c r="F312" s="2616" t="str">
        <f>INDEX(PT_DIFFERENTIATION_VTAR,MATCH(A312,PT_DIFFERENTIATION_VTAR_ID,0))</f>
        <v>Тариф на горячую воду (горячее водоснабжение)</v>
      </c>
      <c r="G312" s="2692" t="str">
        <f>INDEX(PT_DIFFERENTIATION_NTAR,MATCH(B312,PT_DIFFERENTIATION_NTAR_ID,0))</f>
        <v/>
      </c>
      <c r="H312" s="1779"/>
      <c r="I312" s="1660"/>
      <c r="J312" s="1694"/>
      <c r="K312" s="1698"/>
      <c r="L312" s="1779" t="s">
        <v>325</v>
      </c>
      <c r="M312" s="278"/>
      <c r="N312" s="271"/>
      <c r="O312" s="1547"/>
      <c r="P312" s="1547"/>
      <c r="AH312" s="1554">
        <v>0</v>
      </c>
    </row>
    <row r="313" spans="1:34" s="1558" customFormat="1" ht="18.75" hidden="1" customHeight="1">
      <c r="A313" s="1700"/>
      <c r="B313" s="1700"/>
      <c r="C313" s="305" t="s">
        <v>1352</v>
      </c>
      <c r="D313" s="2723"/>
      <c r="E313" s="2461"/>
      <c r="F313" s="2616"/>
      <c r="G313" s="2692"/>
      <c r="H313" s="1423"/>
      <c r="I313" s="587" t="s">
        <v>1351</v>
      </c>
      <c r="J313" s="507"/>
      <c r="K313" s="1423"/>
      <c r="L313" s="151"/>
      <c r="M313" s="278"/>
      <c r="N313" s="271"/>
      <c r="O313" s="1547"/>
      <c r="P313" s="1547"/>
      <c r="AH313" s="1554">
        <v>0</v>
      </c>
    </row>
    <row r="314" spans="1:34" s="1558" customFormat="1" ht="0.75" hidden="1" customHeight="1">
      <c r="A314" s="1700"/>
      <c r="B314" s="1700"/>
      <c r="C314" s="305" t="s">
        <v>1359</v>
      </c>
      <c r="D314" s="2723"/>
      <c r="E314" s="2461"/>
      <c r="F314" s="2616"/>
      <c r="G314" s="336"/>
      <c r="H314" s="1423"/>
      <c r="I314" s="587"/>
      <c r="J314" s="507"/>
      <c r="K314" s="1423"/>
      <c r="L314" s="151"/>
      <c r="M314" s="278"/>
      <c r="N314" s="271"/>
      <c r="O314" s="1547"/>
      <c r="P314" s="1547"/>
      <c r="AH314" s="1554">
        <v>0</v>
      </c>
    </row>
    <row r="315" spans="1:34" s="1558" customFormat="1" ht="18.75" hidden="1" customHeight="1">
      <c r="A315" s="1700" t="s">
        <v>274</v>
      </c>
      <c r="B315" s="1700" t="s">
        <v>275</v>
      </c>
      <c r="C315" s="305"/>
      <c r="D315" s="2723"/>
      <c r="E315" s="2461"/>
      <c r="F315" s="2616" t="str">
        <f>INDEX(PT_DIFFERENTIATION_VTAR,MATCH(A315,PT_DIFFERENTIATION_VTAR_ID,0))</f>
        <v>Тариф на транспортировку горячей воды</v>
      </c>
      <c r="G315" s="2692" t="str">
        <f>INDEX(PT_DIFFERENTIATION_NTAR,MATCH(B315,PT_DIFFERENTIATION_NTAR_ID,0))</f>
        <v/>
      </c>
      <c r="H315" s="1779"/>
      <c r="I315" s="1660"/>
      <c r="J315" s="1694"/>
      <c r="K315" s="1698"/>
      <c r="L315" s="1779" t="s">
        <v>325</v>
      </c>
      <c r="M315" s="278"/>
      <c r="N315" s="271"/>
      <c r="O315" s="1547"/>
      <c r="P315" s="1547"/>
      <c r="AH315" s="1554">
        <v>0</v>
      </c>
    </row>
    <row r="316" spans="1:34" s="1558" customFormat="1" ht="18.75" hidden="1" customHeight="1">
      <c r="A316" s="1700"/>
      <c r="B316" s="1700"/>
      <c r="C316" s="305" t="s">
        <v>1352</v>
      </c>
      <c r="D316" s="2723"/>
      <c r="E316" s="2461"/>
      <c r="F316" s="2616"/>
      <c r="G316" s="2692"/>
      <c r="H316" s="1423"/>
      <c r="I316" s="587" t="s">
        <v>1351</v>
      </c>
      <c r="J316" s="507"/>
      <c r="K316" s="1423"/>
      <c r="L316" s="151"/>
      <c r="M316" s="278"/>
      <c r="N316" s="271"/>
      <c r="O316" s="1547"/>
      <c r="P316" s="1547"/>
      <c r="AH316" s="1554">
        <v>0</v>
      </c>
    </row>
    <row r="317" spans="1:34" s="1558" customFormat="1" ht="0.75" hidden="1" customHeight="1">
      <c r="A317" s="1700"/>
      <c r="B317" s="1700"/>
      <c r="C317" s="305" t="s">
        <v>1359</v>
      </c>
      <c r="D317" s="2723"/>
      <c r="E317" s="2461"/>
      <c r="F317" s="2616"/>
      <c r="G317" s="336"/>
      <c r="H317" s="1423"/>
      <c r="I317" s="587"/>
      <c r="J317" s="507"/>
      <c r="K317" s="1423"/>
      <c r="L317" s="151"/>
      <c r="M317" s="278"/>
      <c r="N317" s="271"/>
      <c r="O317" s="1547"/>
      <c r="P317" s="1547"/>
      <c r="AH317" s="1554">
        <v>0</v>
      </c>
    </row>
    <row r="318" spans="1:34" s="1558" customFormat="1" ht="18.75" hidden="1" customHeight="1">
      <c r="A318" s="1700" t="s">
        <v>279</v>
      </c>
      <c r="B318" s="1700" t="s">
        <v>280</v>
      </c>
      <c r="C318" s="305"/>
      <c r="D318" s="2723"/>
      <c r="E318" s="2461"/>
      <c r="F318" s="261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692" t="str">
        <f>INDEX(PT_DIFFERENTIATION_NTAR,MATCH(B318,PT_DIFFERENTIATION_NTAR_ID,0))</f>
        <v/>
      </c>
      <c r="H318" s="1779"/>
      <c r="I318" s="1660"/>
      <c r="J318" s="1694"/>
      <c r="K318" s="1698"/>
      <c r="L318" s="1779" t="s">
        <v>325</v>
      </c>
      <c r="M318" s="278"/>
      <c r="N318" s="271"/>
      <c r="O318" s="1547"/>
      <c r="P318" s="1547"/>
      <c r="AH318" s="1554">
        <v>0</v>
      </c>
    </row>
    <row r="319" spans="1:34" s="1558" customFormat="1" ht="18.75" hidden="1" customHeight="1">
      <c r="A319" s="1700"/>
      <c r="B319" s="1700"/>
      <c r="C319" s="305" t="s">
        <v>1352</v>
      </c>
      <c r="D319" s="2723"/>
      <c r="E319" s="2461"/>
      <c r="F319" s="2616"/>
      <c r="G319" s="2692"/>
      <c r="H319" s="1423"/>
      <c r="I319" s="587" t="s">
        <v>1351</v>
      </c>
      <c r="J319" s="507"/>
      <c r="K319" s="1423"/>
      <c r="L319" s="151"/>
      <c r="M319" s="278"/>
      <c r="N319" s="271"/>
      <c r="O319" s="1547"/>
      <c r="P319" s="1547"/>
      <c r="AH319" s="1554">
        <v>0</v>
      </c>
    </row>
    <row r="320" spans="1:34" s="1558" customFormat="1" ht="0.75" hidden="1" customHeight="1">
      <c r="A320" s="1700"/>
      <c r="B320" s="1700"/>
      <c r="C320" s="305" t="s">
        <v>1359</v>
      </c>
      <c r="D320" s="2723"/>
      <c r="E320" s="2461"/>
      <c r="F320" s="2616"/>
      <c r="G320" s="336"/>
      <c r="H320" s="1423"/>
      <c r="I320" s="587"/>
      <c r="J320" s="507"/>
      <c r="K320" s="1423"/>
      <c r="L320" s="151"/>
      <c r="M320" s="278"/>
      <c r="N320" s="271"/>
      <c r="O320" s="1547"/>
      <c r="P320" s="1547"/>
      <c r="AH320" s="1554">
        <v>0</v>
      </c>
    </row>
    <row r="321" spans="1:34" s="1558" customFormat="1" ht="18.75" hidden="1" customHeight="1">
      <c r="A321" s="1700" t="s">
        <v>284</v>
      </c>
      <c r="B321" s="1700" t="s">
        <v>285</v>
      </c>
      <c r="C321" s="305"/>
      <c r="D321" s="2723"/>
      <c r="E321" s="2461"/>
      <c r="F321" s="2616" t="str">
        <f>INDEX(PT_DIFFERENTIATION_VTAR,MATCH(A321,PT_DIFFERENTIATION_VTAR_ID,0))</f>
        <v>Тариф на водоотведение</v>
      </c>
      <c r="G321" s="2692" t="str">
        <f>INDEX(PT_DIFFERENTIATION_NTAR,MATCH(B321,PT_DIFFERENTIATION_NTAR_ID,0))</f>
        <v/>
      </c>
      <c r="H321" s="1779"/>
      <c r="I321" s="1660"/>
      <c r="J321" s="1694"/>
      <c r="K321" s="1698"/>
      <c r="L321" s="1779" t="s">
        <v>325</v>
      </c>
      <c r="M321" s="278"/>
      <c r="N321" s="271"/>
      <c r="O321" s="1547"/>
      <c r="P321" s="1547"/>
      <c r="AH321" s="1554">
        <v>0</v>
      </c>
    </row>
    <row r="322" spans="1:34" s="1558" customFormat="1" ht="18.75" hidden="1" customHeight="1">
      <c r="A322" s="1700"/>
      <c r="B322" s="1700"/>
      <c r="C322" s="305" t="s">
        <v>1352</v>
      </c>
      <c r="D322" s="2723"/>
      <c r="E322" s="2461"/>
      <c r="F322" s="2616"/>
      <c r="G322" s="2692"/>
      <c r="H322" s="1423"/>
      <c r="I322" s="587" t="s">
        <v>1351</v>
      </c>
      <c r="J322" s="507"/>
      <c r="K322" s="1423"/>
      <c r="L322" s="151"/>
      <c r="M322" s="278"/>
      <c r="N322" s="271"/>
      <c r="O322" s="1547"/>
      <c r="P322" s="1547"/>
      <c r="AH322" s="1554">
        <v>0</v>
      </c>
    </row>
    <row r="323" spans="1:34" s="1558" customFormat="1" ht="0.75" hidden="1" customHeight="1">
      <c r="A323" s="1700"/>
      <c r="B323" s="1700"/>
      <c r="C323" s="305" t="s">
        <v>1359</v>
      </c>
      <c r="D323" s="2723"/>
      <c r="E323" s="2461"/>
      <c r="F323" s="2616"/>
      <c r="G323" s="336"/>
      <c r="H323" s="1423"/>
      <c r="I323" s="587"/>
      <c r="J323" s="507"/>
      <c r="K323" s="1423"/>
      <c r="L323" s="151"/>
      <c r="M323" s="278"/>
      <c r="N323" s="271"/>
      <c r="O323" s="1547"/>
      <c r="P323" s="1547"/>
      <c r="AH323" s="1554">
        <v>0</v>
      </c>
    </row>
    <row r="324" spans="1:34" s="1558" customFormat="1" ht="18.75" hidden="1" customHeight="1">
      <c r="A324" s="1700" t="s">
        <v>289</v>
      </c>
      <c r="B324" s="1700" t="s">
        <v>290</v>
      </c>
      <c r="C324" s="305"/>
      <c r="D324" s="2723"/>
      <c r="E324" s="2461"/>
      <c r="F324" s="2616" t="str">
        <f>INDEX(PT_DIFFERENTIATION_VTAR,MATCH(A324,PT_DIFFERENTIATION_VTAR_ID,0))</f>
        <v>Тариф на транспортировку сточных вод</v>
      </c>
      <c r="G324" s="2692" t="str">
        <f>INDEX(PT_DIFFERENTIATION_NTAR,MATCH(B324,PT_DIFFERENTIATION_NTAR_ID,0))</f>
        <v/>
      </c>
      <c r="H324" s="1779"/>
      <c r="I324" s="1660"/>
      <c r="J324" s="1694"/>
      <c r="K324" s="1698"/>
      <c r="L324" s="1779" t="s">
        <v>325</v>
      </c>
      <c r="M324" s="278"/>
      <c r="N324" s="271"/>
      <c r="O324" s="1547"/>
      <c r="P324" s="1547"/>
      <c r="AH324" s="1554">
        <v>0</v>
      </c>
    </row>
    <row r="325" spans="1:34" s="1558" customFormat="1" ht="18.75" hidden="1" customHeight="1">
      <c r="A325" s="1700"/>
      <c r="B325" s="1700"/>
      <c r="C325" s="305" t="s">
        <v>1352</v>
      </c>
      <c r="D325" s="2723"/>
      <c r="E325" s="2461"/>
      <c r="F325" s="2616"/>
      <c r="G325" s="2692"/>
      <c r="H325" s="1423"/>
      <c r="I325" s="587" t="s">
        <v>1351</v>
      </c>
      <c r="J325" s="507"/>
      <c r="K325" s="1423"/>
      <c r="L325" s="151"/>
      <c r="M325" s="278"/>
      <c r="N325" s="271"/>
      <c r="O325" s="1547"/>
      <c r="P325" s="1547"/>
      <c r="AH325" s="1554">
        <v>0</v>
      </c>
    </row>
    <row r="326" spans="1:34" s="1558" customFormat="1" ht="0.75" hidden="1" customHeight="1">
      <c r="A326" s="1700"/>
      <c r="B326" s="1700"/>
      <c r="C326" s="305" t="s">
        <v>1359</v>
      </c>
      <c r="D326" s="2723"/>
      <c r="E326" s="2461"/>
      <c r="F326" s="2616"/>
      <c r="G326" s="336"/>
      <c r="H326" s="1423"/>
      <c r="I326" s="587"/>
      <c r="J326" s="507"/>
      <c r="K326" s="1423"/>
      <c r="L326" s="151"/>
      <c r="M326" s="278"/>
      <c r="N326" s="271"/>
      <c r="O326" s="1547"/>
      <c r="P326" s="1547"/>
      <c r="AH326" s="1554">
        <v>0</v>
      </c>
    </row>
    <row r="327" spans="1:34" s="1558" customFormat="1" ht="18.75" hidden="1" customHeight="1">
      <c r="A327" s="1700" t="s">
        <v>294</v>
      </c>
      <c r="B327" s="1700" t="s">
        <v>295</v>
      </c>
      <c r="C327" s="305"/>
      <c r="D327" s="2723"/>
      <c r="E327" s="2461"/>
      <c r="F327" s="2616" t="str">
        <f>INDEX(PT_DIFFERENTIATION_VTAR,MATCH(A327,PT_DIFFERENTIATION_VTAR_ID,0))</f>
        <v>Тариф на подключение (технологическое присоединение) к централизованной системе водоотведения</v>
      </c>
      <c r="G327" s="2692" t="str">
        <f>INDEX(PT_DIFFERENTIATION_NTAR,MATCH(B327,PT_DIFFERENTIATION_NTAR_ID,0))</f>
        <v/>
      </c>
      <c r="H327" s="1779"/>
      <c r="I327" s="1660"/>
      <c r="J327" s="1694"/>
      <c r="K327" s="1698"/>
      <c r="L327" s="1779" t="s">
        <v>325</v>
      </c>
      <c r="M327" s="278"/>
      <c r="N327" s="271"/>
      <c r="O327" s="1547"/>
      <c r="P327" s="1547"/>
      <c r="AH327" s="1554">
        <v>0</v>
      </c>
    </row>
    <row r="328" spans="1:34" s="1558" customFormat="1" ht="18.75" hidden="1" customHeight="1">
      <c r="A328" s="1700"/>
      <c r="B328" s="1700"/>
      <c r="C328" s="305" t="s">
        <v>1352</v>
      </c>
      <c r="D328" s="2723"/>
      <c r="E328" s="2461"/>
      <c r="F328" s="2616"/>
      <c r="G328" s="2692"/>
      <c r="H328" s="1423"/>
      <c r="I328" s="587" t="s">
        <v>1351</v>
      </c>
      <c r="J328" s="507"/>
      <c r="K328" s="1423"/>
      <c r="L328" s="151"/>
      <c r="M328" s="278"/>
      <c r="N328" s="271"/>
      <c r="O328" s="1547"/>
      <c r="P328" s="1547"/>
      <c r="AH328" s="1554">
        <v>0</v>
      </c>
    </row>
    <row r="329" spans="1:34" s="1558" customFormat="1" ht="1.1499999999999999" customHeight="1">
      <c r="A329" s="1700"/>
      <c r="B329" s="1700"/>
      <c r="C329" s="305" t="s">
        <v>1359</v>
      </c>
      <c r="D329" s="2723"/>
      <c r="E329" s="2461"/>
      <c r="F329" s="2616"/>
      <c r="G329" s="336"/>
      <c r="H329" s="1423"/>
      <c r="I329" s="587"/>
      <c r="J329" s="507"/>
      <c r="K329" s="1423"/>
      <c r="L329" s="151"/>
      <c r="M329" s="278"/>
      <c r="N329" s="271"/>
      <c r="O329" s="1547"/>
      <c r="P329" s="1547"/>
      <c r="AH329" s="1554">
        <v>1</v>
      </c>
    </row>
    <row r="330" spans="1:34" s="1742" customFormat="1" ht="3" customHeight="1">
      <c r="A330" s="1700"/>
      <c r="B330" s="1700"/>
      <c r="C330" s="1701"/>
      <c r="E330" s="338"/>
      <c r="F330" s="338"/>
      <c r="G330" s="338"/>
      <c r="H330" s="338"/>
      <c r="I330" s="338"/>
      <c r="J330" s="338"/>
      <c r="K330" s="338"/>
      <c r="L330" s="338"/>
      <c r="M330" s="338"/>
      <c r="O330" s="133"/>
      <c r="P330" s="133"/>
      <c r="AH330" s="78">
        <v>3</v>
      </c>
    </row>
    <row r="331" spans="1:34" ht="26.25" customHeight="1">
      <c r="E331" s="139"/>
      <c r="F331" s="2526"/>
      <c r="G331" s="2526"/>
      <c r="H331" s="2526"/>
      <c r="I331" s="2526"/>
      <c r="J331" s="2526"/>
      <c r="K331" s="2526"/>
      <c r="L331" s="2526"/>
      <c r="M331" s="2526"/>
      <c r="AH331" s="310">
        <v>25</v>
      </c>
    </row>
    <row r="332" spans="1:34" ht="14.25" hidden="1" customHeight="1">
      <c r="A332" s="1699" t="s">
        <v>83</v>
      </c>
      <c r="B332" s="1699">
        <v>0</v>
      </c>
      <c r="C332" s="305">
        <v>0</v>
      </c>
      <c r="D332" s="281">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294:J294 I66:J66 I69:J69 I63:J63 I75:J75 I78:J78 I209:J209 I212:J212 I215:J215 I218:J218 I221:J221 I224:J224 I227:J227 I230:J230 I236:J236 I239:J239 I242:J242 I245:J245 I248:J248 I251:J251 I254:J254 I257:J257 I260:J260 I8:J8 I72:J72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81:J8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703125" defaultRowHeight="14.25" customHeight="1"/>
  <cols>
    <col min="1" max="1" width="9.140625" style="2032" hidden="1" customWidth="1"/>
    <col min="2" max="2" width="9.140625" style="1289" hidden="1" customWidth="1"/>
    <col min="3" max="3" width="3" style="281" customWidth="1"/>
    <col min="4" max="4" width="6" style="1558" customWidth="1"/>
    <col min="5" max="5" width="53" style="1558" customWidth="1"/>
    <col min="6" max="7" width="35" style="1558" customWidth="1"/>
    <col min="8" max="8" width="89" style="1558" customWidth="1"/>
    <col min="9" max="9" width="10" style="1558" customWidth="1"/>
    <col min="10" max="11" width="10" style="1547" customWidth="1"/>
    <col min="12" max="17" width="10" style="1558" customWidth="1"/>
    <col min="18" max="18" width="10.5703125" style="1558" hidden="1"/>
  </cols>
  <sheetData>
    <row r="1" spans="1:18" ht="22.5" hidden="1" customHeight="1">
      <c r="N1" s="192"/>
      <c r="O1" s="192"/>
      <c r="Q1" s="192"/>
      <c r="R1" s="310" t="s">
        <v>14</v>
      </c>
    </row>
    <row r="2" spans="1:18" s="1558" customFormat="1" ht="18.75" hidden="1" customHeight="1">
      <c r="A2" s="41"/>
      <c r="B2" s="1083"/>
      <c r="C2" s="1651" t="s">
        <v>104</v>
      </c>
      <c r="D2" s="1595"/>
      <c r="E2" s="1604"/>
      <c r="F2" s="194"/>
      <c r="G2" s="1084"/>
      <c r="H2" s="310"/>
      <c r="I2" s="1547"/>
      <c r="J2" s="1547"/>
      <c r="R2" s="1554">
        <v>0</v>
      </c>
    </row>
    <row r="3" spans="1:18" ht="14.25" hidden="1" customHeight="1">
      <c r="R3" s="310">
        <v>0</v>
      </c>
    </row>
    <row r="4" spans="1:18" ht="6.4" customHeight="1">
      <c r="C4" s="312"/>
      <c r="D4" s="299"/>
      <c r="E4" s="299"/>
      <c r="F4" s="299"/>
      <c r="G4" s="24"/>
      <c r="H4" s="24"/>
      <c r="R4" s="310">
        <v>6</v>
      </c>
    </row>
    <row r="5" spans="1:18" ht="34.5" customHeight="1">
      <c r="C5" s="312"/>
      <c r="D5" s="241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18"/>
      <c r="F5" s="2418"/>
      <c r="G5" s="2419"/>
      <c r="H5" s="203"/>
      <c r="R5" s="310">
        <v>33</v>
      </c>
    </row>
    <row r="6" spans="1:18" s="1558" customFormat="1" ht="18" customHeight="1">
      <c r="A6" s="1591"/>
      <c r="B6" s="1083"/>
      <c r="C6" s="312"/>
      <c r="D6" s="2471" t="str">
        <f>IF(org=0,"Не определено",org)</f>
        <v>ПАО "ТГК-2"</v>
      </c>
      <c r="E6" s="2472"/>
      <c r="F6" s="2472"/>
      <c r="G6" s="2473"/>
      <c r="H6" s="203"/>
      <c r="J6" s="1547"/>
      <c r="K6" s="1547"/>
      <c r="R6" s="1554">
        <v>17</v>
      </c>
    </row>
    <row r="7" spans="1:18" ht="14.65" customHeight="1">
      <c r="C7" s="312"/>
      <c r="D7" s="299"/>
      <c r="E7" s="325"/>
      <c r="F7" s="325"/>
      <c r="G7" s="687"/>
      <c r="H7" s="130"/>
      <c r="R7" s="310">
        <v>14</v>
      </c>
    </row>
    <row r="8" spans="1:18" ht="14.65" customHeight="1">
      <c r="C8" s="312"/>
      <c r="D8" s="2466" t="s">
        <v>319</v>
      </c>
      <c r="E8" s="2466"/>
      <c r="F8" s="2466"/>
      <c r="G8" s="2466"/>
      <c r="H8" s="2626" t="s">
        <v>320</v>
      </c>
      <c r="R8" s="310">
        <v>14</v>
      </c>
    </row>
    <row r="9" spans="1:18" ht="24" customHeight="1">
      <c r="C9" s="312"/>
      <c r="D9" s="322" t="s">
        <v>89</v>
      </c>
      <c r="E9" s="47" t="s">
        <v>321</v>
      </c>
      <c r="F9" s="47" t="s">
        <v>322</v>
      </c>
      <c r="G9" s="47" t="s">
        <v>409</v>
      </c>
      <c r="H9" s="2626"/>
      <c r="R9" s="310">
        <v>23</v>
      </c>
    </row>
    <row r="10" spans="1:18" ht="14.65" customHeight="1">
      <c r="A10" s="280"/>
      <c r="C10" s="312"/>
      <c r="D10" s="84" t="s">
        <v>100</v>
      </c>
      <c r="E10" s="1803"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4"/>
      <c r="G10" s="150"/>
      <c r="H10" s="2429" t="s">
        <v>1360</v>
      </c>
      <c r="R10" s="310">
        <v>14</v>
      </c>
    </row>
    <row r="11" spans="1:18" ht="14.65" customHeight="1">
      <c r="A11" s="280"/>
      <c r="C11" s="312"/>
      <c r="D11" s="84" t="s">
        <v>103</v>
      </c>
      <c r="E11" s="1803"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4"/>
      <c r="G11" s="150"/>
      <c r="H11" s="2430"/>
      <c r="R11" s="310">
        <v>14</v>
      </c>
    </row>
    <row r="12" spans="1:18" ht="14.65" customHeight="1">
      <c r="A12" s="41"/>
      <c r="C12" s="323"/>
      <c r="D12" s="84" t="s">
        <v>91</v>
      </c>
      <c r="E12" s="324" t="str">
        <f>"Сведения о планировании закупочных процедур"&amp;IF(TEMPLATE_SPHERE="TKO"," &lt;1&gt;","")</f>
        <v>Сведения о планировании закупочных процедур</v>
      </c>
      <c r="F12" s="194"/>
      <c r="G12" s="150"/>
      <c r="H12" s="243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6"/>
      <c r="K12" s="310"/>
      <c r="R12" s="310">
        <v>14</v>
      </c>
    </row>
    <row r="13" spans="1:18" ht="14.65" customHeight="1">
      <c r="A13" s="41"/>
      <c r="C13" s="323"/>
      <c r="D13" s="84" t="s">
        <v>92</v>
      </c>
      <c r="E13" s="324" t="str">
        <f>"Сведения о результатах проведения закупочных процедур"&amp;IF(TEMPLATE_SPHERE="TKO"," &lt;1&gt;","")</f>
        <v>Сведения о результатах проведения закупочных процедур</v>
      </c>
      <c r="F13" s="194"/>
      <c r="G13" s="150"/>
      <c r="H13" s="2430"/>
      <c r="I13" s="286"/>
      <c r="K13" s="310"/>
      <c r="R13" s="310">
        <v>14</v>
      </c>
    </row>
    <row r="14" spans="1:18" ht="14.65" customHeight="1">
      <c r="A14" s="280"/>
      <c r="C14" s="312"/>
      <c r="D14" s="284"/>
      <c r="E14" s="331" t="s">
        <v>341</v>
      </c>
      <c r="F14" s="285"/>
      <c r="G14" s="138"/>
      <c r="H14" s="2431"/>
      <c r="R14" s="310">
        <v>14</v>
      </c>
    </row>
    <row r="15" spans="1:18" s="1558" customFormat="1" ht="14.65" customHeight="1">
      <c r="A15" s="280"/>
      <c r="B15" s="1083"/>
      <c r="C15" s="312"/>
      <c r="D15" s="332"/>
      <c r="E15" s="1599"/>
      <c r="F15" s="1600"/>
      <c r="G15" s="1601"/>
      <c r="H15" s="1602"/>
      <c r="J15" s="1547"/>
      <c r="K15" s="1547"/>
      <c r="R15" s="1554">
        <v>14</v>
      </c>
    </row>
    <row r="16" spans="1:18" ht="14.65" customHeight="1">
      <c r="D16" s="1603"/>
      <c r="E16" s="2526"/>
      <c r="F16" s="2526"/>
      <c r="G16" s="2526"/>
      <c r="H16" s="2526"/>
      <c r="R16" s="310">
        <v>14</v>
      </c>
    </row>
    <row r="17" spans="1:18" ht="22.5" hidden="1" customHeight="1">
      <c r="A17" s="300" t="s">
        <v>83</v>
      </c>
      <c r="B17" s="83">
        <v>0</v>
      </c>
      <c r="C17" s="281">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140625" defaultRowHeight="11.25" customHeight="1"/>
  <cols>
    <col min="1" max="2" width="3.7109375" style="1547" hidden="1" customWidth="1"/>
    <col min="3" max="3" width="3" style="1770" customWidth="1"/>
    <col min="4" max="4" width="6" style="1770" customWidth="1"/>
    <col min="5" max="5" width="42" style="1770" customWidth="1"/>
    <col min="6" max="6" width="15" style="1770" customWidth="1"/>
    <col min="7" max="7" width="42" style="1770" customWidth="1"/>
    <col min="8" max="8" width="3" style="1770" customWidth="1"/>
    <col min="9" max="9" width="5" style="1770" customWidth="1"/>
    <col min="10" max="10" width="47" style="1770" customWidth="1"/>
    <col min="11" max="12" width="3" style="1770" customWidth="1"/>
    <col min="13" max="13" width="5" style="1770" customWidth="1"/>
    <col min="14" max="14" width="28" style="1770" customWidth="1"/>
    <col min="15" max="16" width="3" style="1770" customWidth="1"/>
    <col min="17" max="17" width="5" style="1770" customWidth="1"/>
    <col min="18" max="18" width="34" style="1770" customWidth="1"/>
    <col min="19" max="20" width="3.7109375" style="1770" customWidth="1"/>
    <col min="21" max="21" width="5.7109375" style="1770" customWidth="1"/>
    <col min="22" max="22" width="34.42578125" style="1770" customWidth="1"/>
    <col min="23" max="23" width="30" style="1770" customWidth="1"/>
    <col min="24" max="24" width="3" style="1770" customWidth="1"/>
    <col min="25" max="28" width="9.85546875" style="1189" hidden="1" customWidth="1"/>
    <col min="29" max="29" width="27" style="1189" hidden="1" customWidth="1"/>
    <col min="30" max="30" width="10.5703125" style="1189" hidden="1" customWidth="1"/>
    <col min="31" max="31" width="10.7109375" style="1189" hidden="1" customWidth="1"/>
    <col min="32" max="32" width="10" style="1189" hidden="1" customWidth="1"/>
    <col min="33" max="33" width="12.85546875" style="1189" hidden="1" customWidth="1"/>
    <col min="34" max="34" width="24.42578125" style="1189" hidden="1" customWidth="1"/>
    <col min="35" max="35" width="15.85546875" style="1189" hidden="1" customWidth="1"/>
    <col min="36" max="36" width="19.42578125" style="1189" hidden="1" customWidth="1"/>
    <col min="37" max="37" width="11" style="1189" hidden="1" customWidth="1"/>
    <col min="38" max="38" width="23.5703125" style="1189" hidden="1" customWidth="1"/>
    <col min="39" max="39" width="23.85546875" style="1189" hidden="1" customWidth="1"/>
    <col min="40" max="40" width="25.28515625" style="1189" hidden="1" customWidth="1"/>
    <col min="41" max="41" width="16.85546875" style="1189" hidden="1" customWidth="1"/>
    <col min="42" max="42" width="29.5703125" style="1189" hidden="1" customWidth="1"/>
    <col min="43" max="43" width="29.85546875" style="1189" hidden="1" customWidth="1"/>
    <col min="44" max="44" width="9.140625" style="1770"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5" customFormat="1" ht="30.4" customHeight="1">
      <c r="A5" s="91"/>
      <c r="B5" s="91"/>
      <c r="D5" s="241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418"/>
      <c r="F5" s="2418"/>
      <c r="G5" s="2418"/>
      <c r="H5" s="2418"/>
      <c r="I5" s="2418"/>
      <c r="J5" s="2419"/>
      <c r="K5" s="202"/>
      <c r="L5" s="80"/>
      <c r="M5" s="80"/>
      <c r="N5" s="80"/>
      <c r="O5" s="80"/>
      <c r="P5" s="80"/>
      <c r="Q5" s="80"/>
      <c r="R5" s="80"/>
      <c r="S5" s="227"/>
      <c r="T5" s="227"/>
      <c r="U5" s="227"/>
      <c r="V5" s="227"/>
      <c r="W5" s="80"/>
      <c r="Y5" s="1183"/>
      <c r="Z5" s="1183"/>
      <c r="AA5" s="1183"/>
      <c r="AB5" s="1183"/>
      <c r="AC5" s="1183"/>
      <c r="AD5" s="1183"/>
      <c r="AE5" s="1183"/>
      <c r="AF5" s="1183"/>
      <c r="AG5" s="1183"/>
      <c r="AH5" s="1183"/>
      <c r="AI5" s="1183"/>
      <c r="AJ5" s="1183"/>
      <c r="AK5" s="1183"/>
      <c r="AL5" s="1183"/>
      <c r="AM5" s="1183"/>
      <c r="AN5" s="1183"/>
      <c r="AO5" s="1183"/>
      <c r="AP5" s="1183"/>
      <c r="AQ5" s="1183"/>
      <c r="AR5" s="50">
        <v>29</v>
      </c>
    </row>
    <row r="6" spans="1:44" s="525" customFormat="1" ht="14.65" customHeight="1">
      <c r="A6" s="521"/>
      <c r="B6" s="521"/>
      <c r="C6" s="521"/>
      <c r="D6" s="2423" t="str">
        <f>IF(org=0,"Не определено",org)</f>
        <v>ПАО "ТГК-2"</v>
      </c>
      <c r="E6" s="2423"/>
      <c r="F6" s="2423"/>
      <c r="G6" s="2423"/>
      <c r="H6" s="2423"/>
      <c r="I6" s="2423"/>
      <c r="J6" s="2423"/>
      <c r="K6" s="522"/>
      <c r="L6" s="522"/>
      <c r="M6" s="522"/>
      <c r="N6" s="522"/>
      <c r="O6" s="799"/>
      <c r="P6" s="799"/>
      <c r="Q6" s="799"/>
      <c r="R6" s="799"/>
      <c r="S6" s="799"/>
      <c r="T6" s="799"/>
      <c r="U6" s="799"/>
      <c r="V6" s="799"/>
      <c r="W6" s="799"/>
      <c r="X6" s="522"/>
      <c r="Y6" s="1184"/>
      <c r="Z6" s="1184"/>
      <c r="AA6" s="1184"/>
      <c r="AB6" s="1184"/>
      <c r="AC6" s="1184"/>
      <c r="AD6" s="1184"/>
      <c r="AE6" s="1184"/>
      <c r="AF6" s="1184"/>
      <c r="AG6" s="1184"/>
      <c r="AH6" s="1184"/>
      <c r="AI6" s="1184"/>
      <c r="AJ6" s="1184"/>
      <c r="AK6" s="1184"/>
      <c r="AL6" s="1184"/>
      <c r="AM6" s="1184"/>
      <c r="AN6" s="1184"/>
      <c r="AO6" s="1184"/>
      <c r="AP6" s="1184"/>
      <c r="AQ6" s="1184"/>
      <c r="AR6" s="523">
        <v>14</v>
      </c>
    </row>
    <row r="7" spans="1:44" s="236" customFormat="1" ht="11.45" customHeight="1">
      <c r="A7" s="148"/>
      <c r="B7" s="148"/>
      <c r="D7" s="2420"/>
      <c r="E7" s="2421"/>
      <c r="F7" s="2421"/>
      <c r="G7" s="2421"/>
      <c r="H7" s="2421"/>
      <c r="I7" s="2421"/>
      <c r="J7" s="2422"/>
      <c r="Y7" s="1185"/>
      <c r="Z7" s="1185"/>
      <c r="AA7" s="1185"/>
      <c r="AB7" s="1185"/>
      <c r="AC7" s="1185"/>
      <c r="AD7" s="1185"/>
      <c r="AE7" s="1185"/>
      <c r="AF7" s="1185"/>
      <c r="AG7" s="1185"/>
      <c r="AH7" s="1185"/>
      <c r="AI7" s="1185"/>
      <c r="AJ7" s="1185"/>
      <c r="AK7" s="1185"/>
      <c r="AL7" s="1185"/>
      <c r="AM7" s="1185"/>
      <c r="AN7" s="1185"/>
      <c r="AO7" s="1185"/>
      <c r="AP7" s="1185"/>
      <c r="AQ7" s="1185"/>
      <c r="AR7" s="213">
        <v>11</v>
      </c>
    </row>
    <row r="8" spans="1:44" s="525" customFormat="1" ht="1.1499999999999999" customHeight="1">
      <c r="A8" s="91"/>
      <c r="B8" s="91"/>
      <c r="D8" s="149"/>
      <c r="E8" s="149"/>
      <c r="F8" s="149"/>
      <c r="G8" s="149"/>
      <c r="H8" s="149"/>
      <c r="I8" s="149"/>
      <c r="J8" s="149"/>
      <c r="K8" s="149"/>
      <c r="L8" s="149"/>
      <c r="M8" s="149"/>
      <c r="N8" s="149"/>
      <c r="O8" s="149"/>
      <c r="P8" s="149"/>
      <c r="Q8" s="149"/>
      <c r="R8" s="149"/>
      <c r="S8" s="149"/>
      <c r="T8" s="149"/>
      <c r="U8" s="149"/>
      <c r="V8" s="149"/>
      <c r="W8" s="149"/>
      <c r="X8" s="70"/>
      <c r="Y8" s="1183"/>
      <c r="Z8" s="1183"/>
      <c r="AA8" s="1183"/>
      <c r="AB8" s="1183"/>
      <c r="AC8" s="1183"/>
      <c r="AD8" s="1183"/>
      <c r="AE8" s="1183"/>
      <c r="AF8" s="1183"/>
      <c r="AG8" s="1183"/>
      <c r="AH8" s="1183"/>
      <c r="AI8" s="1183"/>
      <c r="AJ8" s="1183"/>
      <c r="AK8" s="1183"/>
      <c r="AL8" s="1183"/>
      <c r="AM8" s="1183"/>
      <c r="AN8" s="1183"/>
      <c r="AO8" s="1183"/>
      <c r="AP8" s="1183"/>
      <c r="AQ8" s="1183"/>
      <c r="AR8" s="50">
        <v>1</v>
      </c>
    </row>
    <row r="9" spans="1:44" ht="28.5" customHeight="1">
      <c r="D9" s="2371" t="s">
        <v>89</v>
      </c>
      <c r="E9" s="2350" t="s">
        <v>143</v>
      </c>
      <c r="F9" s="2349"/>
      <c r="G9" s="2371" t="s">
        <v>119</v>
      </c>
      <c r="H9" s="2371" t="s">
        <v>89</v>
      </c>
      <c r="I9" s="2371"/>
      <c r="J9" s="2371" t="s">
        <v>144</v>
      </c>
      <c r="K9" s="2415" t="s">
        <v>145</v>
      </c>
      <c r="L9" s="2415"/>
      <c r="M9" s="2415"/>
      <c r="N9" s="2415"/>
      <c r="O9" s="2415" t="s">
        <v>146</v>
      </c>
      <c r="P9" s="2415"/>
      <c r="Q9" s="2415"/>
      <c r="R9" s="2415"/>
      <c r="S9" s="2415" t="s">
        <v>147</v>
      </c>
      <c r="T9" s="2415"/>
      <c r="U9" s="2415"/>
      <c r="V9" s="2415"/>
      <c r="W9" s="2371" t="s">
        <v>148</v>
      </c>
      <c r="AR9" s="43">
        <v>27</v>
      </c>
    </row>
    <row r="10" spans="1:44" ht="31.5" customHeight="1">
      <c r="D10" s="2371"/>
      <c r="E10" s="1207" t="s">
        <v>90</v>
      </c>
      <c r="F10" s="1207" t="s">
        <v>149</v>
      </c>
      <c r="G10" s="2371"/>
      <c r="H10" s="2371"/>
      <c r="I10" s="2371"/>
      <c r="J10" s="2371"/>
      <c r="K10" s="49" t="s">
        <v>122</v>
      </c>
      <c r="L10" s="2371" t="s">
        <v>89</v>
      </c>
      <c r="M10" s="2371"/>
      <c r="N10" s="49" t="s">
        <v>150</v>
      </c>
      <c r="O10" s="49" t="s">
        <v>122</v>
      </c>
      <c r="P10" s="2371" t="s">
        <v>89</v>
      </c>
      <c r="Q10" s="2371"/>
      <c r="R10" s="49" t="s">
        <v>150</v>
      </c>
      <c r="S10" s="220" t="s">
        <v>122</v>
      </c>
      <c r="T10" s="2371" t="s">
        <v>89</v>
      </c>
      <c r="U10" s="2371"/>
      <c r="V10" s="220" t="s">
        <v>90</v>
      </c>
      <c r="W10" s="2371"/>
      <c r="Z10" s="1182" t="s">
        <v>151</v>
      </c>
      <c r="AA10" s="1182" t="s">
        <v>152</v>
      </c>
      <c r="AB10" s="1182" t="s">
        <v>153</v>
      </c>
      <c r="AC10" s="1182" t="s">
        <v>154</v>
      </c>
      <c r="AD10" s="1182" t="s">
        <v>155</v>
      </c>
      <c r="AE10" s="1182" t="s">
        <v>156</v>
      </c>
      <c r="AF10" s="1182" t="s">
        <v>157</v>
      </c>
      <c r="AG10" s="1182" t="s">
        <v>158</v>
      </c>
      <c r="AH10" s="1182" t="s">
        <v>159</v>
      </c>
      <c r="AI10" s="1182" t="s">
        <v>160</v>
      </c>
      <c r="AJ10" s="1182" t="s">
        <v>161</v>
      </c>
      <c r="AK10" s="1182" t="s">
        <v>162</v>
      </c>
      <c r="AL10" s="1182" t="s">
        <v>163</v>
      </c>
      <c r="AM10" s="1182" t="s">
        <v>164</v>
      </c>
      <c r="AN10" s="1182" t="s">
        <v>165</v>
      </c>
      <c r="AO10" s="1182" t="s">
        <v>166</v>
      </c>
      <c r="AP10" s="1182" t="s">
        <v>167</v>
      </c>
      <c r="AQ10" s="1182" t="s">
        <v>168</v>
      </c>
      <c r="AR10" s="43">
        <v>30</v>
      </c>
    </row>
    <row r="11" spans="1:44" s="1547" customFormat="1" ht="12" customHeight="1">
      <c r="D11" s="1172" t="s">
        <v>100</v>
      </c>
      <c r="E11" s="1172" t="s">
        <v>103</v>
      </c>
      <c r="F11" s="1172"/>
      <c r="G11" s="1172" t="s">
        <v>91</v>
      </c>
      <c r="H11" s="2416" t="s">
        <v>123</v>
      </c>
      <c r="I11" s="2416"/>
      <c r="J11" s="1172" t="s">
        <v>93</v>
      </c>
      <c r="K11" s="1172" t="s">
        <v>94</v>
      </c>
      <c r="L11" s="2416" t="s">
        <v>124</v>
      </c>
      <c r="M11" s="2416"/>
      <c r="N11" s="1172" t="s">
        <v>169</v>
      </c>
      <c r="O11" s="1172" t="s">
        <v>170</v>
      </c>
      <c r="P11" s="2416" t="s">
        <v>171</v>
      </c>
      <c r="Q11" s="2416"/>
      <c r="R11" s="1172" t="s">
        <v>172</v>
      </c>
      <c r="S11" s="1172" t="s">
        <v>171</v>
      </c>
      <c r="T11" s="2416" t="s">
        <v>172</v>
      </c>
      <c r="U11" s="2416"/>
      <c r="V11" s="1172" t="s">
        <v>173</v>
      </c>
      <c r="W11" s="1172" t="s">
        <v>174</v>
      </c>
      <c r="Y11" s="1182"/>
      <c r="Z11" s="1182"/>
      <c r="AA11" s="1182"/>
      <c r="AB11" s="1182"/>
      <c r="AC11" s="1182"/>
      <c r="AD11" s="1182"/>
      <c r="AE11" s="1182"/>
      <c r="AF11" s="1182"/>
      <c r="AG11" s="1182"/>
      <c r="AH11" s="1182"/>
      <c r="AI11" s="1182"/>
      <c r="AJ11" s="1182"/>
      <c r="AK11" s="1182"/>
      <c r="AL11" s="1182"/>
      <c r="AM11" s="1182"/>
      <c r="AN11" s="1182"/>
      <c r="AO11" s="1182"/>
      <c r="AP11" s="1182"/>
      <c r="AQ11" s="1182"/>
      <c r="AR11" s="214">
        <v>0</v>
      </c>
    </row>
    <row r="12" spans="1:44" ht="14.25" customHeight="1">
      <c r="C12" s="146"/>
      <c r="D12" s="1205">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0" customFormat="1" ht="17.25" customHeight="1">
      <c r="A13" s="258"/>
      <c r="C13" s="146"/>
      <c r="D13" s="2396">
        <v>1</v>
      </c>
      <c r="E13" s="2403" t="s">
        <v>175</v>
      </c>
      <c r="F13" s="2405" t="s">
        <v>19</v>
      </c>
      <c r="G13" s="2403"/>
      <c r="H13" s="2408"/>
      <c r="I13" s="2410"/>
      <c r="J13" s="2412"/>
      <c r="K13" s="2397"/>
      <c r="L13" s="2397"/>
      <c r="M13" s="2397"/>
      <c r="N13" s="2399"/>
      <c r="O13" s="2397"/>
      <c r="P13" s="2397"/>
      <c r="Q13" s="2397"/>
      <c r="R13" s="2402"/>
      <c r="S13" s="2397"/>
      <c r="T13" s="1343"/>
      <c r="U13" s="1343"/>
      <c r="V13" s="1342"/>
      <c r="W13" s="1219"/>
      <c r="Y13" s="1190"/>
      <c r="Z13" s="1190"/>
      <c r="AA13" s="1190"/>
      <c r="AB13" s="1190"/>
      <c r="AC13" s="1190" t="s">
        <v>176</v>
      </c>
      <c r="AD13" s="1190" t="s">
        <v>177</v>
      </c>
      <c r="AE13" s="1190" t="s">
        <v>178</v>
      </c>
      <c r="AF13" s="1190" t="s">
        <v>179</v>
      </c>
      <c r="AG13" s="1190" t="s">
        <v>180</v>
      </c>
      <c r="AH13" s="119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0" t="str">
        <f>IF($G$13=0,"",$G$13)</f>
        <v/>
      </c>
      <c r="AJ13" s="1190" t="str">
        <f>IF($J$13=0,"",$J$13)</f>
        <v/>
      </c>
      <c r="AK13" s="1190" t="str">
        <f>IF($K$13="нет","без дифференциации",IF($N$13=0,"",$N$13))</f>
        <v/>
      </c>
      <c r="AL13" s="1190" t="str">
        <f>IF($O$13="нет","без дифференциации",IF($R$13=0,"",$R$13))</f>
        <v/>
      </c>
      <c r="AM13" s="1190" t="str">
        <f>IF($S$13="нет","без дифференциации",IF($V$13=0,"",$V$13))</f>
        <v/>
      </c>
      <c r="AN13" s="1190">
        <f>$I$13</f>
        <v>0</v>
      </c>
      <c r="AO13" s="1190" t="str">
        <f>$I$13&amp;"."&amp;$M$13</f>
        <v>.</v>
      </c>
      <c r="AP13" s="1190" t="str">
        <f>$I$13&amp;"."&amp;$M$13&amp;"."&amp;$Q$13</f>
        <v>..</v>
      </c>
      <c r="AQ13" s="1190" t="str">
        <f>$I$13&amp;"."&amp;$M$13&amp;"."&amp;$Q$13&amp;"."&amp;$U$13</f>
        <v>...</v>
      </c>
      <c r="AR13" s="685">
        <v>0</v>
      </c>
    </row>
    <row r="14" spans="1:44" s="1770" customFormat="1" ht="17.25" customHeight="1">
      <c r="A14" s="258"/>
      <c r="C14" s="257"/>
      <c r="D14" s="2396"/>
      <c r="E14" s="2403"/>
      <c r="F14" s="2406"/>
      <c r="G14" s="2403"/>
      <c r="H14" s="2409"/>
      <c r="I14" s="2411"/>
      <c r="J14" s="2413"/>
      <c r="K14" s="2398"/>
      <c r="L14" s="2398"/>
      <c r="M14" s="2398"/>
      <c r="N14" s="2400"/>
      <c r="O14" s="2398"/>
      <c r="P14" s="2398"/>
      <c r="Q14" s="2398"/>
      <c r="R14" s="2401"/>
      <c r="S14" s="2398"/>
      <c r="T14" s="1220"/>
      <c r="U14" s="1220"/>
      <c r="V14" s="1220"/>
      <c r="W14" s="1221"/>
      <c r="Y14" s="1182"/>
      <c r="Z14" s="1182"/>
      <c r="AA14" s="1182"/>
      <c r="AB14" s="1182"/>
      <c r="AC14" s="1182"/>
      <c r="AD14" s="1182"/>
      <c r="AE14" s="1182"/>
      <c r="AF14" s="1182"/>
      <c r="AG14" s="1182"/>
      <c r="AH14" s="1182"/>
      <c r="AI14" s="1182"/>
      <c r="AJ14" s="1182"/>
      <c r="AK14" s="1182"/>
      <c r="AL14" s="1182"/>
      <c r="AM14" s="1182"/>
      <c r="AN14" s="1182"/>
      <c r="AO14" s="1182"/>
      <c r="AP14" s="1182"/>
      <c r="AQ14" s="1182"/>
      <c r="AR14" s="685">
        <v>0</v>
      </c>
    </row>
    <row r="15" spans="1:44" s="1770" customFormat="1" ht="17.25" customHeight="1">
      <c r="A15" s="258"/>
      <c r="C15" s="146"/>
      <c r="D15" s="2396"/>
      <c r="E15" s="2403"/>
      <c r="F15" s="2406"/>
      <c r="G15" s="2403"/>
      <c r="H15" s="2409"/>
      <c r="I15" s="2411"/>
      <c r="J15" s="2414"/>
      <c r="K15" s="2398"/>
      <c r="L15" s="2398"/>
      <c r="M15" s="2398"/>
      <c r="N15" s="2401"/>
      <c r="O15" s="2398"/>
      <c r="P15" s="1341"/>
      <c r="Q15" s="1220"/>
      <c r="R15" s="1220"/>
      <c r="S15" s="266"/>
      <c r="T15" s="266"/>
      <c r="U15" s="266"/>
      <c r="V15" s="266"/>
      <c r="W15" s="1221"/>
      <c r="Y15" s="1190"/>
      <c r="Z15" s="1190"/>
      <c r="AA15" s="1190"/>
      <c r="AB15" s="1190"/>
      <c r="AC15" s="1190"/>
      <c r="AD15" s="1190"/>
      <c r="AE15" s="1190"/>
      <c r="AF15" s="1190"/>
      <c r="AG15" s="1190"/>
      <c r="AH15" s="1190"/>
      <c r="AI15" s="1190"/>
      <c r="AJ15" s="1190"/>
      <c r="AK15" s="1190"/>
      <c r="AL15" s="1190"/>
      <c r="AM15" s="1190"/>
      <c r="AN15" s="1190"/>
      <c r="AO15" s="1190"/>
      <c r="AP15" s="1190"/>
      <c r="AQ15" s="1190"/>
      <c r="AR15" s="1340">
        <v>0</v>
      </c>
    </row>
    <row r="16" spans="1:44" s="1770" customFormat="1" ht="17.25" customHeight="1">
      <c r="A16" s="258"/>
      <c r="C16" s="257"/>
      <c r="D16" s="2396"/>
      <c r="E16" s="2403"/>
      <c r="F16" s="2406"/>
      <c r="G16" s="2403"/>
      <c r="H16" s="2409"/>
      <c r="I16" s="2411"/>
      <c r="J16" s="2414"/>
      <c r="K16" s="2398"/>
      <c r="L16" s="1220"/>
      <c r="M16" s="1220"/>
      <c r="N16" s="1220"/>
      <c r="O16" s="1220"/>
      <c r="P16" s="1220"/>
      <c r="Q16" s="1220"/>
      <c r="R16" s="1220"/>
      <c r="S16" s="266"/>
      <c r="T16" s="266"/>
      <c r="U16" s="266"/>
      <c r="V16" s="266"/>
      <c r="W16" s="1221"/>
      <c r="Y16" s="1182"/>
      <c r="Z16" s="1182"/>
      <c r="AA16" s="1182"/>
      <c r="AB16" s="1182"/>
      <c r="AC16" s="1182"/>
      <c r="AD16" s="1182"/>
      <c r="AE16" s="1182"/>
      <c r="AF16" s="1182"/>
      <c r="AG16" s="1182"/>
      <c r="AH16" s="1182"/>
      <c r="AI16" s="1182"/>
      <c r="AJ16" s="1182"/>
      <c r="AK16" s="1182"/>
      <c r="AL16" s="1182"/>
      <c r="AM16" s="1182"/>
      <c r="AN16" s="1182"/>
      <c r="AO16" s="1182"/>
      <c r="AP16" s="1182"/>
      <c r="AQ16" s="1182"/>
      <c r="AR16" s="1340">
        <v>0</v>
      </c>
    </row>
    <row r="17" spans="1:44" s="1770" customFormat="1" ht="17.25" customHeight="1">
      <c r="A17" s="258"/>
      <c r="C17" s="257"/>
      <c r="D17" s="2372"/>
      <c r="E17" s="2404"/>
      <c r="F17" s="2407"/>
      <c r="G17" s="2404"/>
      <c r="H17" s="1222"/>
      <c r="I17" s="1223"/>
      <c r="J17" s="1223"/>
      <c r="K17" s="1223"/>
      <c r="L17" s="1223"/>
      <c r="M17" s="1223"/>
      <c r="N17" s="1223"/>
      <c r="O17" s="1223"/>
      <c r="P17" s="1223"/>
      <c r="Q17" s="1223"/>
      <c r="R17" s="1223"/>
      <c r="S17" s="1224"/>
      <c r="T17" s="1224"/>
      <c r="U17" s="1224"/>
      <c r="V17" s="1224"/>
      <c r="W17" s="1225"/>
      <c r="Y17" s="1182"/>
      <c r="Z17" s="1182"/>
      <c r="AA17" s="1182"/>
      <c r="AB17" s="1182"/>
      <c r="AC17" s="1182"/>
      <c r="AD17" s="1182"/>
      <c r="AE17" s="1182"/>
      <c r="AF17" s="1182"/>
      <c r="AG17" s="1182"/>
      <c r="AH17" s="1182"/>
      <c r="AI17" s="1182"/>
      <c r="AJ17" s="1182"/>
      <c r="AK17" s="1182"/>
      <c r="AL17" s="1182"/>
      <c r="AM17" s="1182"/>
      <c r="AN17" s="1182"/>
      <c r="AO17" s="1182"/>
      <c r="AP17" s="1182"/>
      <c r="AQ17" s="1182"/>
      <c r="AR17" s="685">
        <v>0</v>
      </c>
    </row>
    <row r="18" spans="1:44" s="1770" customFormat="1" ht="17.25" customHeight="1">
      <c r="A18" s="258"/>
      <c r="C18" s="146"/>
      <c r="D18" s="2396">
        <v>2</v>
      </c>
      <c r="E18" s="2424"/>
      <c r="F18" s="2405" t="s">
        <v>19</v>
      </c>
      <c r="G18" s="2403"/>
      <c r="H18" s="2408"/>
      <c r="I18" s="2410"/>
      <c r="J18" s="2412"/>
      <c r="K18" s="2397"/>
      <c r="L18" s="2397"/>
      <c r="M18" s="2397"/>
      <c r="N18" s="2399"/>
      <c r="O18" s="2397"/>
      <c r="P18" s="2397"/>
      <c r="Q18" s="2397"/>
      <c r="R18" s="2402"/>
      <c r="S18" s="2397"/>
      <c r="T18" s="1343"/>
      <c r="U18" s="1343"/>
      <c r="V18" s="1342"/>
      <c r="W18" s="1219"/>
      <c r="X18" s="1190"/>
      <c r="Y18" s="1190"/>
      <c r="Z18" s="1190"/>
      <c r="AA18" s="1190"/>
      <c r="AB18" s="1190"/>
      <c r="AC18" s="1190" t="s">
        <v>181</v>
      </c>
      <c r="AD18" s="1190" t="s">
        <v>182</v>
      </c>
      <c r="AE18" s="1190" t="s">
        <v>183</v>
      </c>
      <c r="AF18" s="1190" t="s">
        <v>184</v>
      </c>
      <c r="AG18" s="1190" t="s">
        <v>185</v>
      </c>
      <c r="AH18" s="1190" t="str">
        <f>IF($E$18=0,"",$E$18)</f>
        <v/>
      </c>
      <c r="AI18" s="1190" t="str">
        <f>IF($G$18=0,"",$G$18)</f>
        <v/>
      </c>
      <c r="AJ18" s="1190" t="str">
        <f>IF($J$18=0,"",$J$18)</f>
        <v/>
      </c>
      <c r="AK18" s="1190" t="str">
        <f>IF($K$18="нет","без дифференциации",IF($N$18=0,"",$N$18))</f>
        <v/>
      </c>
      <c r="AL18" s="1190" t="str">
        <f>IF($O$18="нет","без дифференциации",IF($R$18=0,"",$R$18))</f>
        <v/>
      </c>
      <c r="AM18" s="1190" t="str">
        <f>IF($S$18="нет","без дифференциации",IF($V$18=0,"",$V$18))</f>
        <v/>
      </c>
      <c r="AN18" s="1693">
        <f>$I$18</f>
        <v>0</v>
      </c>
      <c r="AO18" s="1190" t="str">
        <f>$I$18&amp;"."&amp;$M$18</f>
        <v>.</v>
      </c>
      <c r="AP18" s="1182" t="str">
        <f>$I$18&amp;"."&amp;$M$18&amp;"."&amp;$Q$18</f>
        <v>..</v>
      </c>
      <c r="AQ18" s="1182" t="str">
        <f>$I$18&amp;"."&amp;$M$18&amp;"."&amp;$Q$18&amp;"."&amp;$U$18</f>
        <v>...</v>
      </c>
      <c r="AR18" s="1206">
        <v>0</v>
      </c>
    </row>
    <row r="19" spans="1:44" s="1770" customFormat="1" ht="17.25" customHeight="1">
      <c r="A19" s="258"/>
      <c r="C19" s="257"/>
      <c r="D19" s="2396"/>
      <c r="E19" s="2424"/>
      <c r="F19" s="2406"/>
      <c r="G19" s="2403"/>
      <c r="H19" s="2409"/>
      <c r="I19" s="2411"/>
      <c r="J19" s="2413"/>
      <c r="K19" s="2398"/>
      <c r="L19" s="2398"/>
      <c r="M19" s="2398"/>
      <c r="N19" s="2400"/>
      <c r="O19" s="2398"/>
      <c r="P19" s="2398"/>
      <c r="Q19" s="2398"/>
      <c r="R19" s="2401"/>
      <c r="S19" s="2398"/>
      <c r="T19" s="1220"/>
      <c r="U19" s="1220"/>
      <c r="V19" s="1220"/>
      <c r="W19" s="1221"/>
      <c r="X19" s="1182"/>
      <c r="Y19" s="1182"/>
      <c r="Z19" s="1182"/>
      <c r="AA19" s="1182"/>
      <c r="AB19" s="1182"/>
      <c r="AC19" s="1182"/>
      <c r="AD19" s="1182"/>
      <c r="AE19" s="1182"/>
      <c r="AF19" s="1182"/>
      <c r="AG19" s="1182"/>
      <c r="AH19" s="1182"/>
      <c r="AI19" s="1182"/>
      <c r="AJ19" s="1182"/>
      <c r="AK19" s="1182"/>
      <c r="AL19" s="1182"/>
      <c r="AM19" s="1182"/>
      <c r="AN19" s="1182"/>
      <c r="AO19" s="1182"/>
      <c r="AP19" s="1182"/>
      <c r="AQ19" s="1182"/>
      <c r="AR19" s="1206">
        <v>0</v>
      </c>
    </row>
    <row r="20" spans="1:44" s="1770" customFormat="1" ht="17.25" customHeight="1">
      <c r="A20" s="258"/>
      <c r="C20" s="257"/>
      <c r="D20" s="2372"/>
      <c r="E20" s="2425"/>
      <c r="F20" s="2406"/>
      <c r="G20" s="2404"/>
      <c r="H20" s="2409"/>
      <c r="I20" s="2411"/>
      <c r="J20" s="2414"/>
      <c r="K20" s="2398"/>
      <c r="L20" s="2398"/>
      <c r="M20" s="2398"/>
      <c r="N20" s="2401"/>
      <c r="O20" s="2398"/>
      <c r="P20" s="1341"/>
      <c r="Q20" s="1220"/>
      <c r="R20" s="1220"/>
      <c r="S20" s="266"/>
      <c r="T20" s="266"/>
      <c r="U20" s="266"/>
      <c r="V20" s="266"/>
      <c r="W20" s="1221"/>
      <c r="X20" s="1182"/>
      <c r="Y20" s="1182"/>
      <c r="Z20" s="1182"/>
      <c r="AA20" s="1182"/>
      <c r="AB20" s="1182"/>
      <c r="AC20" s="1182"/>
      <c r="AD20" s="1182"/>
      <c r="AE20" s="1182"/>
      <c r="AF20" s="1182"/>
      <c r="AG20" s="1182"/>
      <c r="AH20" s="1182"/>
      <c r="AI20" s="1182"/>
      <c r="AJ20" s="1182"/>
      <c r="AK20" s="1182"/>
      <c r="AL20" s="1182"/>
      <c r="AM20" s="1182"/>
      <c r="AN20" s="1182"/>
      <c r="AO20" s="1182"/>
      <c r="AP20" s="1182"/>
      <c r="AQ20" s="1182"/>
      <c r="AR20" s="1206">
        <v>0</v>
      </c>
    </row>
    <row r="21" spans="1:44" s="1770" customFormat="1" ht="17.25" customHeight="1">
      <c r="A21" s="258"/>
      <c r="C21" s="257"/>
      <c r="D21" s="2372"/>
      <c r="E21" s="2425"/>
      <c r="F21" s="2406"/>
      <c r="G21" s="2404"/>
      <c r="H21" s="2409"/>
      <c r="I21" s="2411"/>
      <c r="J21" s="2414"/>
      <c r="K21" s="2398"/>
      <c r="L21" s="1220"/>
      <c r="M21" s="1220"/>
      <c r="N21" s="1220"/>
      <c r="O21" s="1220"/>
      <c r="P21" s="1220"/>
      <c r="Q21" s="1220"/>
      <c r="R21" s="1220"/>
      <c r="S21" s="266"/>
      <c r="T21" s="266"/>
      <c r="U21" s="266"/>
      <c r="V21" s="266"/>
      <c r="W21" s="1221"/>
      <c r="X21" s="1182"/>
      <c r="Y21" s="1182"/>
      <c r="Z21" s="1182"/>
      <c r="AA21" s="1182"/>
      <c r="AB21" s="1182"/>
      <c r="AC21" s="1182"/>
      <c r="AD21" s="1182"/>
      <c r="AE21" s="1182"/>
      <c r="AF21" s="1182"/>
      <c r="AG21" s="1182"/>
      <c r="AH21" s="1182"/>
      <c r="AI21" s="1182"/>
      <c r="AJ21" s="1182"/>
      <c r="AK21" s="1182"/>
      <c r="AL21" s="1182"/>
      <c r="AM21" s="1182"/>
      <c r="AN21" s="1182"/>
      <c r="AO21" s="1182"/>
      <c r="AP21" s="1182"/>
      <c r="AQ21" s="1182"/>
      <c r="AR21" s="1206">
        <v>0</v>
      </c>
    </row>
    <row r="22" spans="1:44" s="1770" customFormat="1" ht="17.25" customHeight="1">
      <c r="A22" s="258"/>
      <c r="C22" s="257"/>
      <c r="D22" s="2372"/>
      <c r="E22" s="2425"/>
      <c r="F22" s="2407"/>
      <c r="G22" s="2404"/>
      <c r="H22" s="1222"/>
      <c r="I22" s="1223"/>
      <c r="J22" s="1223"/>
      <c r="K22" s="1223"/>
      <c r="L22" s="1223"/>
      <c r="M22" s="1223"/>
      <c r="N22" s="1223"/>
      <c r="O22" s="1223"/>
      <c r="P22" s="1223"/>
      <c r="Q22" s="1223"/>
      <c r="R22" s="1223"/>
      <c r="S22" s="1224"/>
      <c r="T22" s="1224"/>
      <c r="U22" s="1224"/>
      <c r="V22" s="1224"/>
      <c r="W22" s="1225"/>
      <c r="X22" s="1182"/>
      <c r="Y22" s="1182"/>
      <c r="Z22" s="1182"/>
      <c r="AA22" s="1182"/>
      <c r="AB22" s="1182"/>
      <c r="AC22" s="1182"/>
      <c r="AD22" s="1182"/>
      <c r="AE22" s="1182"/>
      <c r="AF22" s="1182"/>
      <c r="AG22" s="1182"/>
      <c r="AH22" s="1182"/>
      <c r="AI22" s="1182"/>
      <c r="AJ22" s="1182"/>
      <c r="AK22" s="1182"/>
      <c r="AL22" s="1182"/>
      <c r="AM22" s="1182"/>
      <c r="AN22" s="1182"/>
      <c r="AO22" s="1182"/>
      <c r="AP22" s="1182"/>
      <c r="AQ22" s="1182"/>
      <c r="AR22" s="1206">
        <v>0</v>
      </c>
    </row>
    <row r="23" spans="1:44" s="1770" customFormat="1" ht="17.25" customHeight="1">
      <c r="A23" s="258"/>
      <c r="C23" s="146"/>
      <c r="D23" s="2396">
        <v>2</v>
      </c>
      <c r="E23" s="2403" t="s">
        <v>186</v>
      </c>
      <c r="F23" s="2405" t="s">
        <v>19</v>
      </c>
      <c r="G23" s="2403"/>
      <c r="H23" s="2408"/>
      <c r="I23" s="2410"/>
      <c r="J23" s="2412"/>
      <c r="K23" s="2397"/>
      <c r="L23" s="2397"/>
      <c r="M23" s="2397"/>
      <c r="N23" s="2399"/>
      <c r="O23" s="2397"/>
      <c r="P23" s="2397"/>
      <c r="Q23" s="2397"/>
      <c r="R23" s="2402"/>
      <c r="S23" s="2397"/>
      <c r="T23" s="1912"/>
      <c r="U23" s="1912"/>
      <c r="V23" s="1914"/>
      <c r="W23" s="1219"/>
      <c r="X23" s="1190"/>
      <c r="Y23" s="1190"/>
      <c r="Z23" s="1190"/>
      <c r="AA23" s="1190"/>
      <c r="AB23" s="1190"/>
      <c r="AC23" s="1190" t="s">
        <v>181</v>
      </c>
      <c r="AD23" s="1190" t="s">
        <v>182</v>
      </c>
      <c r="AE23" s="1190" t="s">
        <v>183</v>
      </c>
      <c r="AF23" s="1190" t="s">
        <v>184</v>
      </c>
      <c r="AG23" s="1190" t="s">
        <v>185</v>
      </c>
      <c r="AH23" s="1190"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0" t="str">
        <f>IF($G$23=0,"",$G$23)</f>
        <v/>
      </c>
      <c r="AJ23" s="1190" t="str">
        <f>IF($J$23=0,"",$J$23)</f>
        <v/>
      </c>
      <c r="AK23" s="1190" t="str">
        <f>IF($K$23="нет","без дифференциации",IF($N$23=0,"",$N$23))</f>
        <v/>
      </c>
      <c r="AL23" s="1190" t="str">
        <f>IF($O$23="нет","без дифференциации",IF($R$23=0,"",$R$23))</f>
        <v/>
      </c>
      <c r="AM23" s="1190" t="str">
        <f>IF($S$23="нет","без дифференциации",IF($V$23=0,"",$V$23))</f>
        <v/>
      </c>
      <c r="AN23" s="1693">
        <f>$I$23</f>
        <v>0</v>
      </c>
      <c r="AO23" s="1190" t="str">
        <f>$I$23&amp;"."&amp;$M$23</f>
        <v>.</v>
      </c>
      <c r="AP23" s="1189" t="str">
        <f>$I$23&amp;"."&amp;$M$23&amp;"."&amp;$Q$23</f>
        <v>..</v>
      </c>
      <c r="AQ23" s="1189" t="str">
        <f>$I$23&amp;"."&amp;$M$23&amp;"."&amp;$Q$23&amp;"."&amp;$U$23</f>
        <v>...</v>
      </c>
      <c r="AR23" s="1390">
        <v>0</v>
      </c>
    </row>
    <row r="24" spans="1:44" s="1770" customFormat="1" ht="17.25" customHeight="1">
      <c r="A24" s="258"/>
      <c r="C24" s="257"/>
      <c r="D24" s="2396"/>
      <c r="E24" s="2403"/>
      <c r="F24" s="2406"/>
      <c r="G24" s="2403"/>
      <c r="H24" s="2409"/>
      <c r="I24" s="2411"/>
      <c r="J24" s="2413"/>
      <c r="K24" s="2398"/>
      <c r="L24" s="2398"/>
      <c r="M24" s="2398"/>
      <c r="N24" s="2400"/>
      <c r="O24" s="2398"/>
      <c r="P24" s="2398"/>
      <c r="Q24" s="2398"/>
      <c r="R24" s="2401"/>
      <c r="S24" s="2398"/>
      <c r="T24" s="1917"/>
      <c r="U24" s="1917"/>
      <c r="V24" s="1917"/>
      <c r="W24" s="1918"/>
      <c r="X24" s="1189"/>
      <c r="Y24" s="1189"/>
      <c r="Z24" s="1189"/>
      <c r="AA24" s="1189"/>
      <c r="AB24" s="1189"/>
      <c r="AC24" s="1189"/>
      <c r="AD24" s="1189"/>
      <c r="AE24" s="1189"/>
      <c r="AF24" s="1189"/>
      <c r="AG24" s="1189"/>
      <c r="AH24" s="1189"/>
      <c r="AI24" s="1189"/>
      <c r="AJ24" s="1189"/>
      <c r="AK24" s="1189"/>
      <c r="AL24" s="1189"/>
      <c r="AM24" s="1189"/>
      <c r="AN24" s="1189"/>
      <c r="AO24" s="1189"/>
      <c r="AP24" s="1189"/>
      <c r="AQ24" s="1189"/>
      <c r="AR24" s="1390">
        <v>0</v>
      </c>
    </row>
    <row r="25" spans="1:44" s="1770" customFormat="1" ht="17.25" customHeight="1">
      <c r="A25" s="258"/>
      <c r="C25" s="257"/>
      <c r="D25" s="2372"/>
      <c r="E25" s="2404"/>
      <c r="F25" s="2406"/>
      <c r="G25" s="2404"/>
      <c r="H25" s="2409"/>
      <c r="I25" s="2411"/>
      <c r="J25" s="2414"/>
      <c r="K25" s="2398"/>
      <c r="L25" s="2398"/>
      <c r="M25" s="2398"/>
      <c r="N25" s="2401"/>
      <c r="O25" s="2398"/>
      <c r="P25" s="1913"/>
      <c r="Q25" s="1917"/>
      <c r="R25" s="1917"/>
      <c r="S25" s="266"/>
      <c r="T25" s="266"/>
      <c r="U25" s="266"/>
      <c r="V25" s="266"/>
      <c r="W25" s="1918"/>
      <c r="X25" s="1189"/>
      <c r="Y25" s="1189"/>
      <c r="Z25" s="1189"/>
      <c r="AA25" s="1189"/>
      <c r="AB25" s="1189"/>
      <c r="AC25" s="1189"/>
      <c r="AD25" s="1189"/>
      <c r="AE25" s="1189"/>
      <c r="AF25" s="1189"/>
      <c r="AG25" s="1189"/>
      <c r="AH25" s="1189"/>
      <c r="AI25" s="1189"/>
      <c r="AJ25" s="1189"/>
      <c r="AK25" s="1189"/>
      <c r="AL25" s="1189"/>
      <c r="AM25" s="1189"/>
      <c r="AN25" s="1189"/>
      <c r="AO25" s="1189"/>
      <c r="AP25" s="1189"/>
      <c r="AQ25" s="1189"/>
      <c r="AR25" s="1390">
        <v>0</v>
      </c>
    </row>
    <row r="26" spans="1:44" s="1770" customFormat="1" ht="17.25" customHeight="1">
      <c r="A26" s="258"/>
      <c r="C26" s="257"/>
      <c r="D26" s="2372"/>
      <c r="E26" s="2404"/>
      <c r="F26" s="2406"/>
      <c r="G26" s="2404"/>
      <c r="H26" s="2409"/>
      <c r="I26" s="2411"/>
      <c r="J26" s="2414"/>
      <c r="K26" s="2398"/>
      <c r="L26" s="1917"/>
      <c r="M26" s="1917"/>
      <c r="N26" s="1917"/>
      <c r="O26" s="1917"/>
      <c r="P26" s="1917"/>
      <c r="Q26" s="1917"/>
      <c r="R26" s="1917"/>
      <c r="S26" s="266"/>
      <c r="T26" s="266"/>
      <c r="U26" s="266"/>
      <c r="V26" s="266"/>
      <c r="W26" s="1918"/>
      <c r="X26" s="1189"/>
      <c r="Y26" s="1189"/>
      <c r="Z26" s="1189"/>
      <c r="AA26" s="1189"/>
      <c r="AB26" s="1189"/>
      <c r="AC26" s="1189"/>
      <c r="AD26" s="1189"/>
      <c r="AE26" s="1189"/>
      <c r="AF26" s="1189"/>
      <c r="AG26" s="1189"/>
      <c r="AH26" s="1189"/>
      <c r="AI26" s="1189"/>
      <c r="AJ26" s="1189"/>
      <c r="AK26" s="1189"/>
      <c r="AL26" s="1189"/>
      <c r="AM26" s="1189"/>
      <c r="AN26" s="1189"/>
      <c r="AO26" s="1189"/>
      <c r="AP26" s="1189"/>
      <c r="AQ26" s="1189"/>
      <c r="AR26" s="1390">
        <v>0</v>
      </c>
    </row>
    <row r="27" spans="1:44" s="1770" customFormat="1" ht="17.25" customHeight="1">
      <c r="A27" s="258"/>
      <c r="C27" s="257"/>
      <c r="D27" s="2372"/>
      <c r="E27" s="2404"/>
      <c r="F27" s="2407"/>
      <c r="G27" s="2404"/>
      <c r="H27" s="1222"/>
      <c r="I27" s="1915"/>
      <c r="J27" s="1915"/>
      <c r="K27" s="1915"/>
      <c r="L27" s="1915"/>
      <c r="M27" s="1915"/>
      <c r="N27" s="1915"/>
      <c r="O27" s="1915"/>
      <c r="P27" s="1915"/>
      <c r="Q27" s="1915"/>
      <c r="R27" s="1915"/>
      <c r="S27" s="1224"/>
      <c r="T27" s="1224"/>
      <c r="U27" s="1224"/>
      <c r="V27" s="1224"/>
      <c r="W27" s="1916"/>
      <c r="X27" s="1189"/>
      <c r="Y27" s="1189"/>
      <c r="Z27" s="1189"/>
      <c r="AA27" s="1189"/>
      <c r="AB27" s="1189"/>
      <c r="AC27" s="1189"/>
      <c r="AD27" s="1189"/>
      <c r="AE27" s="1189"/>
      <c r="AF27" s="1189"/>
      <c r="AG27" s="1189"/>
      <c r="AH27" s="1189"/>
      <c r="AI27" s="1189"/>
      <c r="AJ27" s="1189"/>
      <c r="AK27" s="1189"/>
      <c r="AL27" s="1189"/>
      <c r="AM27" s="1189"/>
      <c r="AN27" s="1189"/>
      <c r="AO27" s="1189"/>
      <c r="AP27" s="1189"/>
      <c r="AQ27" s="1189"/>
      <c r="AR27" s="1390">
        <v>0</v>
      </c>
    </row>
    <row r="28" spans="1:44" s="1770" customFormat="1" ht="17.25" customHeight="1">
      <c r="A28" s="258"/>
      <c r="C28" s="146"/>
      <c r="D28" s="2396">
        <v>3</v>
      </c>
      <c r="E28" s="2403" t="s">
        <v>187</v>
      </c>
      <c r="F28" s="2405" t="s">
        <v>19</v>
      </c>
      <c r="G28" s="2403"/>
      <c r="H28" s="2408"/>
      <c r="I28" s="2410"/>
      <c r="J28" s="2412"/>
      <c r="K28" s="2397"/>
      <c r="L28" s="2397"/>
      <c r="M28" s="2397"/>
      <c r="N28" s="2399"/>
      <c r="O28" s="2397"/>
      <c r="P28" s="2397"/>
      <c r="Q28" s="2397"/>
      <c r="R28" s="2402"/>
      <c r="S28" s="2397"/>
      <c r="T28" s="1343"/>
      <c r="U28" s="1343"/>
      <c r="V28" s="1342"/>
      <c r="W28" s="1219"/>
      <c r="X28" s="1190"/>
      <c r="Y28" s="1190"/>
      <c r="Z28" s="1190"/>
      <c r="AA28" s="1190"/>
      <c r="AB28" s="1190"/>
      <c r="AC28" s="1190" t="s">
        <v>188</v>
      </c>
      <c r="AD28" s="1190" t="s">
        <v>189</v>
      </c>
      <c r="AE28" s="1190" t="s">
        <v>190</v>
      </c>
      <c r="AF28" s="1190" t="s">
        <v>191</v>
      </c>
      <c r="AG28" s="1190" t="s">
        <v>192</v>
      </c>
      <c r="AH28" s="1190" t="str">
        <f>IF($E$28=0,"",$E$28)</f>
        <v>Тарифы на теплоноситель, поставляемый теплоснабжающими организациями потребителям, другим теплоснабжающим организациям</v>
      </c>
      <c r="AI28" s="1190" t="str">
        <f>IF($G$28=0,"",$G$28)</f>
        <v/>
      </c>
      <c r="AJ28" s="1190" t="str">
        <f>IF($J$28=0,"",$J$28)</f>
        <v/>
      </c>
      <c r="AK28" s="1190" t="str">
        <f>IF($K$28="нет","без дифференциации",IF($N$28=0,"",$N$28))</f>
        <v/>
      </c>
      <c r="AL28" s="1190" t="str">
        <f>IF($O$28="нет","без дифференциации",IF($R$28=0,"",$R$28))</f>
        <v/>
      </c>
      <c r="AM28" s="1190" t="str">
        <f>IF($S$28="нет","без дифференциации",IF($V$28=0,"",$V$28))</f>
        <v/>
      </c>
      <c r="AN28" s="1693">
        <f>$I$28</f>
        <v>0</v>
      </c>
      <c r="AO28" s="1190" t="str">
        <f>$I$28&amp;"."&amp;$M$28</f>
        <v>.</v>
      </c>
      <c r="AP28" s="1182" t="str">
        <f>$I$28&amp;"."&amp;$M$28&amp;"."&amp;$Q$28</f>
        <v>..</v>
      </c>
      <c r="AQ28" s="1182" t="str">
        <f>$I$28&amp;"."&amp;$M$28&amp;"."&amp;$Q$28&amp;"."&amp;$U$28</f>
        <v>...</v>
      </c>
      <c r="AR28" s="1206">
        <v>0</v>
      </c>
    </row>
    <row r="29" spans="1:44" s="1770" customFormat="1" ht="17.25" customHeight="1">
      <c r="A29" s="258"/>
      <c r="C29" s="257"/>
      <c r="D29" s="2396"/>
      <c r="E29" s="2403"/>
      <c r="F29" s="2406"/>
      <c r="G29" s="2403"/>
      <c r="H29" s="2409"/>
      <c r="I29" s="2411"/>
      <c r="J29" s="2413"/>
      <c r="K29" s="2398"/>
      <c r="L29" s="2398"/>
      <c r="M29" s="2398"/>
      <c r="N29" s="2400"/>
      <c r="O29" s="2398"/>
      <c r="P29" s="2398"/>
      <c r="Q29" s="2398"/>
      <c r="R29" s="2401"/>
      <c r="S29" s="2398"/>
      <c r="T29" s="1220"/>
      <c r="U29" s="1220"/>
      <c r="V29" s="1220"/>
      <c r="W29" s="1221"/>
      <c r="X29" s="1182"/>
      <c r="Y29" s="1182"/>
      <c r="Z29" s="1182"/>
      <c r="AA29" s="1182"/>
      <c r="AB29" s="1182"/>
      <c r="AC29" s="1182"/>
      <c r="AD29" s="1182"/>
      <c r="AE29" s="1182"/>
      <c r="AF29" s="1182"/>
      <c r="AG29" s="1182"/>
      <c r="AH29" s="1182"/>
      <c r="AI29" s="1182"/>
      <c r="AJ29" s="1182"/>
      <c r="AK29" s="1182"/>
      <c r="AL29" s="1182"/>
      <c r="AM29" s="1182"/>
      <c r="AN29" s="1182"/>
      <c r="AO29" s="1182"/>
      <c r="AP29" s="1182"/>
      <c r="AQ29" s="1182"/>
      <c r="AR29" s="1206">
        <v>0</v>
      </c>
    </row>
    <row r="30" spans="1:44" s="1770" customFormat="1" ht="17.25" customHeight="1">
      <c r="A30" s="258"/>
      <c r="C30" s="257"/>
      <c r="D30" s="2372"/>
      <c r="E30" s="2404"/>
      <c r="F30" s="2406"/>
      <c r="G30" s="2404"/>
      <c r="H30" s="2409"/>
      <c r="I30" s="2411"/>
      <c r="J30" s="2414"/>
      <c r="K30" s="2398"/>
      <c r="L30" s="2398"/>
      <c r="M30" s="2398"/>
      <c r="N30" s="2401"/>
      <c r="O30" s="2398"/>
      <c r="P30" s="1341"/>
      <c r="Q30" s="1220"/>
      <c r="R30" s="1220"/>
      <c r="S30" s="266"/>
      <c r="T30" s="266"/>
      <c r="U30" s="266"/>
      <c r="V30" s="266"/>
      <c r="W30" s="1221"/>
      <c r="X30" s="1182"/>
      <c r="Y30" s="1182"/>
      <c r="Z30" s="1182"/>
      <c r="AA30" s="1182"/>
      <c r="AB30" s="1182"/>
      <c r="AC30" s="1182"/>
      <c r="AD30" s="1182"/>
      <c r="AE30" s="1182"/>
      <c r="AF30" s="1182"/>
      <c r="AG30" s="1182"/>
      <c r="AH30" s="1182"/>
      <c r="AI30" s="1182"/>
      <c r="AJ30" s="1182"/>
      <c r="AK30" s="1182"/>
      <c r="AL30" s="1182"/>
      <c r="AM30" s="1182"/>
      <c r="AN30" s="1182"/>
      <c r="AO30" s="1182"/>
      <c r="AP30" s="1182"/>
      <c r="AQ30" s="1182"/>
      <c r="AR30" s="1206">
        <v>0</v>
      </c>
    </row>
    <row r="31" spans="1:44" s="1770" customFormat="1" ht="17.25" customHeight="1">
      <c r="A31" s="258"/>
      <c r="C31" s="257"/>
      <c r="D31" s="2372"/>
      <c r="E31" s="2404"/>
      <c r="F31" s="2406"/>
      <c r="G31" s="2404"/>
      <c r="H31" s="2409"/>
      <c r="I31" s="2411"/>
      <c r="J31" s="2414"/>
      <c r="K31" s="2398"/>
      <c r="L31" s="1220"/>
      <c r="M31" s="1220"/>
      <c r="N31" s="1220"/>
      <c r="O31" s="1220"/>
      <c r="P31" s="1220"/>
      <c r="Q31" s="1220"/>
      <c r="R31" s="1220"/>
      <c r="S31" s="266"/>
      <c r="T31" s="266"/>
      <c r="U31" s="266"/>
      <c r="V31" s="266"/>
      <c r="W31" s="1221"/>
      <c r="X31" s="1182"/>
      <c r="Y31" s="1182"/>
      <c r="Z31" s="1182"/>
      <c r="AA31" s="1182"/>
      <c r="AB31" s="1182"/>
      <c r="AC31" s="1182"/>
      <c r="AD31" s="1182"/>
      <c r="AE31" s="1182"/>
      <c r="AF31" s="1182"/>
      <c r="AG31" s="1182"/>
      <c r="AH31" s="1182"/>
      <c r="AI31" s="1182"/>
      <c r="AJ31" s="1182"/>
      <c r="AK31" s="1182"/>
      <c r="AL31" s="1182"/>
      <c r="AM31" s="1182"/>
      <c r="AN31" s="1182"/>
      <c r="AO31" s="1182"/>
      <c r="AP31" s="1182"/>
      <c r="AQ31" s="1182"/>
      <c r="AR31" s="1206">
        <v>0</v>
      </c>
    </row>
    <row r="32" spans="1:44" s="1770" customFormat="1" ht="17.25" customHeight="1">
      <c r="A32" s="258"/>
      <c r="C32" s="257"/>
      <c r="D32" s="2372"/>
      <c r="E32" s="2404"/>
      <c r="F32" s="2407"/>
      <c r="G32" s="2404"/>
      <c r="H32" s="1222"/>
      <c r="I32" s="1223"/>
      <c r="J32" s="1223"/>
      <c r="K32" s="1223"/>
      <c r="L32" s="1223"/>
      <c r="M32" s="1223"/>
      <c r="N32" s="1223"/>
      <c r="O32" s="1223"/>
      <c r="P32" s="1223"/>
      <c r="Q32" s="1223"/>
      <c r="R32" s="1223"/>
      <c r="S32" s="1224"/>
      <c r="T32" s="1224"/>
      <c r="U32" s="1224"/>
      <c r="V32" s="1224"/>
      <c r="W32" s="1225"/>
      <c r="X32" s="1182"/>
      <c r="Y32" s="1182"/>
      <c r="Z32" s="1182"/>
      <c r="AA32" s="1182"/>
      <c r="AB32" s="1182"/>
      <c r="AC32" s="1182"/>
      <c r="AD32" s="1182"/>
      <c r="AE32" s="1182"/>
      <c r="AF32" s="1182"/>
      <c r="AG32" s="1182"/>
      <c r="AH32" s="1182"/>
      <c r="AI32" s="1182"/>
      <c r="AJ32" s="1182"/>
      <c r="AK32" s="1182"/>
      <c r="AL32" s="1182"/>
      <c r="AM32" s="1182"/>
      <c r="AN32" s="1182"/>
      <c r="AO32" s="1182"/>
      <c r="AP32" s="1182"/>
      <c r="AQ32" s="1182"/>
      <c r="AR32" s="1206">
        <v>0</v>
      </c>
    </row>
    <row r="33" spans="1:44" s="1770" customFormat="1" ht="17.25" customHeight="1">
      <c r="A33" s="258"/>
      <c r="C33" s="146"/>
      <c r="D33" s="2396">
        <v>4</v>
      </c>
      <c r="E33" s="2403" t="s">
        <v>193</v>
      </c>
      <c r="F33" s="2405" t="s">
        <v>19</v>
      </c>
      <c r="G33" s="2403"/>
      <c r="H33" s="2408"/>
      <c r="I33" s="2410"/>
      <c r="J33" s="2412"/>
      <c r="K33" s="2397"/>
      <c r="L33" s="2397"/>
      <c r="M33" s="2397"/>
      <c r="N33" s="2399"/>
      <c r="O33" s="2397"/>
      <c r="P33" s="2397"/>
      <c r="Q33" s="2397"/>
      <c r="R33" s="2402"/>
      <c r="S33" s="2397"/>
      <c r="T33" s="1343"/>
      <c r="U33" s="1343"/>
      <c r="V33" s="1342"/>
      <c r="W33" s="1219"/>
      <c r="X33" s="1190"/>
      <c r="Y33" s="1190"/>
      <c r="Z33" s="1190"/>
      <c r="AA33" s="1190"/>
      <c r="AB33" s="1190"/>
      <c r="AC33" s="1190" t="s">
        <v>194</v>
      </c>
      <c r="AD33" s="1190" t="s">
        <v>195</v>
      </c>
      <c r="AE33" s="1190" t="s">
        <v>196</v>
      </c>
      <c r="AF33" s="1190" t="s">
        <v>197</v>
      </c>
      <c r="AG33" s="1190" t="s">
        <v>198</v>
      </c>
      <c r="AH33" s="119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0" t="str">
        <f>IF($G$33=0,"",$G$33)</f>
        <v/>
      </c>
      <c r="AJ33" s="1190" t="str">
        <f>IF($J$33=0,"",$J$33)</f>
        <v/>
      </c>
      <c r="AK33" s="1190" t="str">
        <f>IF($K$33="нет","без дифференциации",IF($N$33=0,"",$N$33))</f>
        <v/>
      </c>
      <c r="AL33" s="1190" t="str">
        <f>IF($O$33="нет","без дифференциации",IF($R$33=0,"",$R$33))</f>
        <v/>
      </c>
      <c r="AM33" s="1190" t="str">
        <f>IF($S$33="нет","без дифференциации",IF($V$33=0,"",$V$33))</f>
        <v/>
      </c>
      <c r="AN33" s="1693">
        <f>$I$33</f>
        <v>0</v>
      </c>
      <c r="AO33" s="1190" t="str">
        <f>$I$33&amp;"."&amp;$M$33</f>
        <v>.</v>
      </c>
      <c r="AP33" s="1182" t="str">
        <f>$I$33&amp;"."&amp;$M$33&amp;"."&amp;$Q$33</f>
        <v>..</v>
      </c>
      <c r="AQ33" s="1182" t="str">
        <f>$I$33&amp;"."&amp;$M$33&amp;"."&amp;$Q$33&amp;"."&amp;$U$33</f>
        <v>...</v>
      </c>
      <c r="AR33" s="1206">
        <v>0</v>
      </c>
    </row>
    <row r="34" spans="1:44" s="1770" customFormat="1" ht="17.25" customHeight="1">
      <c r="A34" s="258"/>
      <c r="C34" s="257"/>
      <c r="D34" s="2396"/>
      <c r="E34" s="2403"/>
      <c r="F34" s="2406"/>
      <c r="G34" s="2403"/>
      <c r="H34" s="2409"/>
      <c r="I34" s="2411"/>
      <c r="J34" s="2413"/>
      <c r="K34" s="2398"/>
      <c r="L34" s="2398"/>
      <c r="M34" s="2398"/>
      <c r="N34" s="2400"/>
      <c r="O34" s="2398"/>
      <c r="P34" s="2398"/>
      <c r="Q34" s="2398"/>
      <c r="R34" s="2401"/>
      <c r="S34" s="2398"/>
      <c r="T34" s="1220"/>
      <c r="U34" s="1220"/>
      <c r="V34" s="1220"/>
      <c r="W34" s="1221"/>
      <c r="X34" s="1182"/>
      <c r="Y34" s="1182"/>
      <c r="Z34" s="1182"/>
      <c r="AA34" s="1182"/>
      <c r="AB34" s="1182"/>
      <c r="AC34" s="1182"/>
      <c r="AD34" s="1182"/>
      <c r="AE34" s="1182"/>
      <c r="AF34" s="1182"/>
      <c r="AG34" s="1182"/>
      <c r="AH34" s="1182"/>
      <c r="AI34" s="1182"/>
      <c r="AJ34" s="1182"/>
      <c r="AK34" s="1182"/>
      <c r="AL34" s="1182"/>
      <c r="AM34" s="1182"/>
      <c r="AN34" s="1182"/>
      <c r="AO34" s="1182"/>
      <c r="AP34" s="1182"/>
      <c r="AQ34" s="1182"/>
      <c r="AR34" s="1206">
        <v>0</v>
      </c>
    </row>
    <row r="35" spans="1:44" s="1770" customFormat="1" ht="17.25" customHeight="1">
      <c r="A35" s="258"/>
      <c r="C35" s="257"/>
      <c r="D35" s="2372"/>
      <c r="E35" s="2404"/>
      <c r="F35" s="2406"/>
      <c r="G35" s="2404"/>
      <c r="H35" s="2409"/>
      <c r="I35" s="2411"/>
      <c r="J35" s="2414"/>
      <c r="K35" s="2398"/>
      <c r="L35" s="2398"/>
      <c r="M35" s="2398"/>
      <c r="N35" s="2401"/>
      <c r="O35" s="2398"/>
      <c r="P35" s="1341"/>
      <c r="Q35" s="1220"/>
      <c r="R35" s="1220"/>
      <c r="S35" s="266"/>
      <c r="T35" s="266"/>
      <c r="U35" s="266"/>
      <c r="V35" s="266"/>
      <c r="W35" s="1221"/>
      <c r="X35" s="1182"/>
      <c r="Y35" s="1182"/>
      <c r="Z35" s="1182"/>
      <c r="AA35" s="1182"/>
      <c r="AB35" s="1182"/>
      <c r="AC35" s="1182"/>
      <c r="AD35" s="1182"/>
      <c r="AE35" s="1182"/>
      <c r="AF35" s="1182"/>
      <c r="AG35" s="1182"/>
      <c r="AH35" s="1182"/>
      <c r="AI35" s="1182"/>
      <c r="AJ35" s="1182"/>
      <c r="AK35" s="1182"/>
      <c r="AL35" s="1182"/>
      <c r="AM35" s="1182"/>
      <c r="AN35" s="1182"/>
      <c r="AO35" s="1182"/>
      <c r="AP35" s="1182"/>
      <c r="AQ35" s="1182"/>
      <c r="AR35" s="1206">
        <v>0</v>
      </c>
    </row>
    <row r="36" spans="1:44" s="1770" customFormat="1" ht="17.25" customHeight="1">
      <c r="A36" s="258"/>
      <c r="C36" s="257"/>
      <c r="D36" s="2372"/>
      <c r="E36" s="2404"/>
      <c r="F36" s="2406"/>
      <c r="G36" s="2404"/>
      <c r="H36" s="2409"/>
      <c r="I36" s="2411"/>
      <c r="J36" s="2414"/>
      <c r="K36" s="2398"/>
      <c r="L36" s="1220"/>
      <c r="M36" s="1220"/>
      <c r="N36" s="1220"/>
      <c r="O36" s="1220"/>
      <c r="P36" s="1220"/>
      <c r="Q36" s="1220"/>
      <c r="R36" s="1220"/>
      <c r="S36" s="266"/>
      <c r="T36" s="266"/>
      <c r="U36" s="266"/>
      <c r="V36" s="266"/>
      <c r="W36" s="1221"/>
      <c r="X36" s="1182"/>
      <c r="Y36" s="1182"/>
      <c r="Z36" s="1182"/>
      <c r="AA36" s="1182"/>
      <c r="AB36" s="1182"/>
      <c r="AC36" s="1182"/>
      <c r="AD36" s="1182"/>
      <c r="AE36" s="1182"/>
      <c r="AF36" s="1182"/>
      <c r="AG36" s="1182"/>
      <c r="AH36" s="1182"/>
      <c r="AI36" s="1182"/>
      <c r="AJ36" s="1182"/>
      <c r="AK36" s="1182"/>
      <c r="AL36" s="1182"/>
      <c r="AM36" s="1182"/>
      <c r="AN36" s="1182"/>
      <c r="AO36" s="1182"/>
      <c r="AP36" s="1182"/>
      <c r="AQ36" s="1182"/>
      <c r="AR36" s="1206">
        <v>0</v>
      </c>
    </row>
    <row r="37" spans="1:44" s="1770" customFormat="1" ht="17.25" customHeight="1">
      <c r="A37" s="258"/>
      <c r="C37" s="257"/>
      <c r="D37" s="2372"/>
      <c r="E37" s="2404"/>
      <c r="F37" s="2407"/>
      <c r="G37" s="2404"/>
      <c r="H37" s="1222"/>
      <c r="I37" s="1223"/>
      <c r="J37" s="1223"/>
      <c r="K37" s="1223"/>
      <c r="L37" s="1223"/>
      <c r="M37" s="1223"/>
      <c r="N37" s="1223"/>
      <c r="O37" s="1223"/>
      <c r="P37" s="1223"/>
      <c r="Q37" s="1223"/>
      <c r="R37" s="1223"/>
      <c r="S37" s="1224"/>
      <c r="T37" s="1224"/>
      <c r="U37" s="1224"/>
      <c r="V37" s="1224"/>
      <c r="W37" s="1225"/>
      <c r="X37" s="1182"/>
      <c r="Y37" s="1182"/>
      <c r="Z37" s="1182"/>
      <c r="AA37" s="1182"/>
      <c r="AB37" s="1182"/>
      <c r="AC37" s="1182"/>
      <c r="AD37" s="1182"/>
      <c r="AE37" s="1182"/>
      <c r="AF37" s="1182"/>
      <c r="AG37" s="1182"/>
      <c r="AH37" s="1182"/>
      <c r="AI37" s="1182"/>
      <c r="AJ37" s="1182"/>
      <c r="AK37" s="1182"/>
      <c r="AL37" s="1182"/>
      <c r="AM37" s="1182"/>
      <c r="AN37" s="1182"/>
      <c r="AO37" s="1182"/>
      <c r="AP37" s="1182"/>
      <c r="AQ37" s="1182"/>
      <c r="AR37" s="1206">
        <v>0</v>
      </c>
    </row>
    <row r="38" spans="1:44" s="1770" customFormat="1" ht="17.25" customHeight="1">
      <c r="A38" s="258"/>
      <c r="C38" s="146"/>
      <c r="D38" s="2396">
        <v>5</v>
      </c>
      <c r="E38" s="2403" t="s">
        <v>199</v>
      </c>
      <c r="F38" s="2405" t="s">
        <v>19</v>
      </c>
      <c r="G38" s="2403"/>
      <c r="H38" s="2408"/>
      <c r="I38" s="2410"/>
      <c r="J38" s="2412"/>
      <c r="K38" s="2397"/>
      <c r="L38" s="2397"/>
      <c r="M38" s="2397"/>
      <c r="N38" s="2399"/>
      <c r="O38" s="2397"/>
      <c r="P38" s="2397"/>
      <c r="Q38" s="2397"/>
      <c r="R38" s="2402"/>
      <c r="S38" s="2397"/>
      <c r="T38" s="1343"/>
      <c r="U38" s="1343"/>
      <c r="V38" s="1342"/>
      <c r="W38" s="1219"/>
      <c r="X38" s="1190"/>
      <c r="Y38" s="1190"/>
      <c r="Z38" s="1190"/>
      <c r="AA38" s="1190"/>
      <c r="AB38" s="1190"/>
      <c r="AC38" s="1190" t="s">
        <v>200</v>
      </c>
      <c r="AD38" s="1190" t="s">
        <v>201</v>
      </c>
      <c r="AE38" s="1190" t="s">
        <v>202</v>
      </c>
      <c r="AF38" s="1190" t="s">
        <v>203</v>
      </c>
      <c r="AG38" s="1190" t="s">
        <v>204</v>
      </c>
      <c r="AH38" s="1190" t="str">
        <f>IF($E$38=0,"",$E$38)</f>
        <v>Тарифы на услуги по передаче тепловой энергии</v>
      </c>
      <c r="AI38" s="1190" t="str">
        <f>IF($G$38=0,"",$G$38)</f>
        <v/>
      </c>
      <c r="AJ38" s="1190" t="str">
        <f>IF($J$38=0,"",$J$38)</f>
        <v/>
      </c>
      <c r="AK38" s="1190" t="str">
        <f>IF($K$38="нет","без дифференциации",IF($N$38=0,"",$N$38))</f>
        <v/>
      </c>
      <c r="AL38" s="1190" t="str">
        <f>IF($O$38="нет","без дифференциации",IF($R$38=0,"",$R$38))</f>
        <v/>
      </c>
      <c r="AM38" s="1190" t="str">
        <f>IF($S$38="нет","без дифференциации",IF($V$38=0,"",$V$38))</f>
        <v/>
      </c>
      <c r="AN38" s="1693">
        <f>$I$38</f>
        <v>0</v>
      </c>
      <c r="AO38" s="1190" t="str">
        <f>$I$38&amp;"."&amp;$M$38</f>
        <v>.</v>
      </c>
      <c r="AP38" s="1182" t="str">
        <f>$I$38&amp;"."&amp;$M$38&amp;"."&amp;$Q$38</f>
        <v>..</v>
      </c>
      <c r="AQ38" s="1182" t="str">
        <f>$I$38&amp;"."&amp;$M$38&amp;"."&amp;$Q$38&amp;"."&amp;$U$38</f>
        <v>...</v>
      </c>
      <c r="AR38" s="1206">
        <v>0</v>
      </c>
    </row>
    <row r="39" spans="1:44" s="1770" customFormat="1" ht="17.25" customHeight="1">
      <c r="A39" s="258"/>
      <c r="C39" s="257"/>
      <c r="D39" s="2396"/>
      <c r="E39" s="2403"/>
      <c r="F39" s="2406"/>
      <c r="G39" s="2403"/>
      <c r="H39" s="2409"/>
      <c r="I39" s="2411"/>
      <c r="J39" s="2413"/>
      <c r="K39" s="2398"/>
      <c r="L39" s="2398"/>
      <c r="M39" s="2398"/>
      <c r="N39" s="2400"/>
      <c r="O39" s="2398"/>
      <c r="P39" s="2398"/>
      <c r="Q39" s="2398"/>
      <c r="R39" s="2401"/>
      <c r="S39" s="2398"/>
      <c r="T39" s="1220"/>
      <c r="U39" s="1220"/>
      <c r="V39" s="1220"/>
      <c r="W39" s="1221"/>
      <c r="X39" s="1182"/>
      <c r="Y39" s="1182"/>
      <c r="Z39" s="1182"/>
      <c r="AA39" s="1182"/>
      <c r="AB39" s="1182"/>
      <c r="AC39" s="1182"/>
      <c r="AD39" s="1182"/>
      <c r="AE39" s="1182"/>
      <c r="AF39" s="1182"/>
      <c r="AG39" s="1182"/>
      <c r="AH39" s="1182"/>
      <c r="AI39" s="1182"/>
      <c r="AJ39" s="1182"/>
      <c r="AK39" s="1182"/>
      <c r="AL39" s="1182"/>
      <c r="AM39" s="1182"/>
      <c r="AN39" s="1182"/>
      <c r="AO39" s="1182"/>
      <c r="AP39" s="1182"/>
      <c r="AQ39" s="1182"/>
      <c r="AR39" s="1206">
        <v>0</v>
      </c>
    </row>
    <row r="40" spans="1:44" s="1770" customFormat="1" ht="17.25" customHeight="1">
      <c r="A40" s="258"/>
      <c r="C40" s="257"/>
      <c r="D40" s="2372"/>
      <c r="E40" s="2404"/>
      <c r="F40" s="2406"/>
      <c r="G40" s="2404"/>
      <c r="H40" s="2409"/>
      <c r="I40" s="2411"/>
      <c r="J40" s="2414"/>
      <c r="K40" s="2398"/>
      <c r="L40" s="2398"/>
      <c r="M40" s="2398"/>
      <c r="N40" s="2401"/>
      <c r="O40" s="2398"/>
      <c r="P40" s="1341"/>
      <c r="Q40" s="1220"/>
      <c r="R40" s="1220"/>
      <c r="S40" s="266"/>
      <c r="T40" s="266"/>
      <c r="U40" s="266"/>
      <c r="V40" s="266"/>
      <c r="W40" s="1221"/>
      <c r="X40" s="1182"/>
      <c r="Y40" s="1182"/>
      <c r="Z40" s="1182"/>
      <c r="AA40" s="1182"/>
      <c r="AB40" s="1182"/>
      <c r="AC40" s="1182"/>
      <c r="AD40" s="1182"/>
      <c r="AE40" s="1182"/>
      <c r="AF40" s="1182"/>
      <c r="AG40" s="1182"/>
      <c r="AH40" s="1182"/>
      <c r="AI40" s="1182"/>
      <c r="AJ40" s="1182"/>
      <c r="AK40" s="1182"/>
      <c r="AL40" s="1182"/>
      <c r="AM40" s="1182"/>
      <c r="AN40" s="1182"/>
      <c r="AO40" s="1182"/>
      <c r="AP40" s="1182"/>
      <c r="AQ40" s="1182"/>
      <c r="AR40" s="1206">
        <v>0</v>
      </c>
    </row>
    <row r="41" spans="1:44" s="1770" customFormat="1" ht="17.25" customHeight="1">
      <c r="A41" s="258"/>
      <c r="C41" s="257"/>
      <c r="D41" s="2372"/>
      <c r="E41" s="2404"/>
      <c r="F41" s="2406"/>
      <c r="G41" s="2404"/>
      <c r="H41" s="2409"/>
      <c r="I41" s="2411"/>
      <c r="J41" s="2414"/>
      <c r="K41" s="2398"/>
      <c r="L41" s="1220"/>
      <c r="M41" s="1220"/>
      <c r="N41" s="1220"/>
      <c r="O41" s="1220"/>
      <c r="P41" s="1220"/>
      <c r="Q41" s="1220"/>
      <c r="R41" s="1220"/>
      <c r="S41" s="266"/>
      <c r="T41" s="266"/>
      <c r="U41" s="266"/>
      <c r="V41" s="266"/>
      <c r="W41" s="1221"/>
      <c r="X41" s="1182"/>
      <c r="Y41" s="1182"/>
      <c r="Z41" s="1182"/>
      <c r="AA41" s="1182"/>
      <c r="AB41" s="1182"/>
      <c r="AC41" s="1182"/>
      <c r="AD41" s="1182"/>
      <c r="AE41" s="1182"/>
      <c r="AF41" s="1182"/>
      <c r="AG41" s="1182"/>
      <c r="AH41" s="1182"/>
      <c r="AI41" s="1182"/>
      <c r="AJ41" s="1182"/>
      <c r="AK41" s="1182"/>
      <c r="AL41" s="1182"/>
      <c r="AM41" s="1182"/>
      <c r="AN41" s="1182"/>
      <c r="AO41" s="1182"/>
      <c r="AP41" s="1182"/>
      <c r="AQ41" s="1182"/>
      <c r="AR41" s="1206">
        <v>0</v>
      </c>
    </row>
    <row r="42" spans="1:44" s="1770" customFormat="1" ht="17.25" customHeight="1">
      <c r="A42" s="258"/>
      <c r="C42" s="257"/>
      <c r="D42" s="2372"/>
      <c r="E42" s="2404"/>
      <c r="F42" s="2407"/>
      <c r="G42" s="2404"/>
      <c r="H42" s="1222"/>
      <c r="I42" s="1223"/>
      <c r="J42" s="1223"/>
      <c r="K42" s="1223"/>
      <c r="L42" s="1223"/>
      <c r="M42" s="1223"/>
      <c r="N42" s="1223"/>
      <c r="O42" s="1223"/>
      <c r="P42" s="1223"/>
      <c r="Q42" s="1223"/>
      <c r="R42" s="1223"/>
      <c r="S42" s="1224"/>
      <c r="T42" s="1224"/>
      <c r="U42" s="1224"/>
      <c r="V42" s="1224"/>
      <c r="W42" s="1225"/>
      <c r="X42" s="1182"/>
      <c r="Y42" s="1182"/>
      <c r="Z42" s="1182"/>
      <c r="AA42" s="1182"/>
      <c r="AB42" s="1182"/>
      <c r="AC42" s="1182"/>
      <c r="AD42" s="1182"/>
      <c r="AE42" s="1182"/>
      <c r="AF42" s="1182"/>
      <c r="AG42" s="1182"/>
      <c r="AH42" s="1182"/>
      <c r="AI42" s="1182"/>
      <c r="AJ42" s="1182"/>
      <c r="AK42" s="1182"/>
      <c r="AL42" s="1182"/>
      <c r="AM42" s="1182"/>
      <c r="AN42" s="1182"/>
      <c r="AO42" s="1182"/>
      <c r="AP42" s="1182"/>
      <c r="AQ42" s="1182"/>
      <c r="AR42" s="1206">
        <v>0</v>
      </c>
    </row>
    <row r="43" spans="1:44" s="1770" customFormat="1" ht="17.25" customHeight="1">
      <c r="A43" s="258"/>
      <c r="C43" s="146"/>
      <c r="D43" s="2396">
        <v>6</v>
      </c>
      <c r="E43" s="2403" t="s">
        <v>205</v>
      </c>
      <c r="F43" s="2405" t="s">
        <v>19</v>
      </c>
      <c r="G43" s="2403"/>
      <c r="H43" s="2408"/>
      <c r="I43" s="2410"/>
      <c r="J43" s="2412"/>
      <c r="K43" s="2397"/>
      <c r="L43" s="2397"/>
      <c r="M43" s="2397"/>
      <c r="N43" s="2399"/>
      <c r="O43" s="2397"/>
      <c r="P43" s="2397"/>
      <c r="Q43" s="2397"/>
      <c r="R43" s="2402"/>
      <c r="S43" s="2397"/>
      <c r="T43" s="1343"/>
      <c r="U43" s="1343"/>
      <c r="V43" s="1342"/>
      <c r="W43" s="1219"/>
      <c r="X43" s="1190"/>
      <c r="Y43" s="1190"/>
      <c r="Z43" s="1190"/>
      <c r="AA43" s="1190"/>
      <c r="AB43" s="1190"/>
      <c r="AC43" s="1190" t="s">
        <v>206</v>
      </c>
      <c r="AD43" s="1190" t="s">
        <v>207</v>
      </c>
      <c r="AE43" s="1190" t="s">
        <v>208</v>
      </c>
      <c r="AF43" s="1190" t="s">
        <v>209</v>
      </c>
      <c r="AG43" s="1190" t="s">
        <v>210</v>
      </c>
      <c r="AH43" s="1190" t="str">
        <f>IF($E$43=0,"",$E$43)</f>
        <v>Тарифы на услуги по передаче теплоносителя</v>
      </c>
      <c r="AI43" s="1190" t="str">
        <f>IF($G$43=0,"",$G$43)</f>
        <v/>
      </c>
      <c r="AJ43" s="1190" t="str">
        <f>IF($J$43=0,"",$J$43)</f>
        <v/>
      </c>
      <c r="AK43" s="1190" t="str">
        <f>IF($K$43="нет","без дифференциации",IF($N$43=0,"",$N$43))</f>
        <v/>
      </c>
      <c r="AL43" s="1190" t="str">
        <f>IF($O$43="нет","без дифференциации",IF($R$43=0,"",$R$43))</f>
        <v/>
      </c>
      <c r="AM43" s="1190" t="str">
        <f>IF($S$43="нет","без дифференциации",IF($V$43=0,"",$V$43))</f>
        <v/>
      </c>
      <c r="AN43" s="1693">
        <f>$I$43</f>
        <v>0</v>
      </c>
      <c r="AO43" s="1190" t="str">
        <f>$I$43&amp;"."&amp;$M$43</f>
        <v>.</v>
      </c>
      <c r="AP43" s="1182" t="str">
        <f>$I$43&amp;"."&amp;$M$43&amp;"."&amp;$Q$43</f>
        <v>..</v>
      </c>
      <c r="AQ43" s="1182" t="str">
        <f>$I$43&amp;"."&amp;$M$43&amp;"."&amp;$Q$43&amp;"."&amp;$U$43</f>
        <v>...</v>
      </c>
      <c r="AR43" s="1206">
        <v>0</v>
      </c>
    </row>
    <row r="44" spans="1:44" s="1770" customFormat="1" ht="17.25" customHeight="1">
      <c r="A44" s="258"/>
      <c r="C44" s="257"/>
      <c r="D44" s="2396"/>
      <c r="E44" s="2403"/>
      <c r="F44" s="2406"/>
      <c r="G44" s="2403"/>
      <c r="H44" s="2409"/>
      <c r="I44" s="2411"/>
      <c r="J44" s="2413"/>
      <c r="K44" s="2398"/>
      <c r="L44" s="2398"/>
      <c r="M44" s="2398"/>
      <c r="N44" s="2400"/>
      <c r="O44" s="2398"/>
      <c r="P44" s="2398"/>
      <c r="Q44" s="2398"/>
      <c r="R44" s="2401"/>
      <c r="S44" s="2398"/>
      <c r="T44" s="1220"/>
      <c r="U44" s="1220"/>
      <c r="V44" s="1220"/>
      <c r="W44" s="1221"/>
      <c r="X44" s="1182"/>
      <c r="Y44" s="1182"/>
      <c r="Z44" s="1182"/>
      <c r="AA44" s="1182"/>
      <c r="AB44" s="1182"/>
      <c r="AC44" s="1182"/>
      <c r="AD44" s="1182"/>
      <c r="AE44" s="1182"/>
      <c r="AF44" s="1182"/>
      <c r="AG44" s="1182"/>
      <c r="AH44" s="1182"/>
      <c r="AI44" s="1182"/>
      <c r="AJ44" s="1182"/>
      <c r="AK44" s="1182"/>
      <c r="AL44" s="1182"/>
      <c r="AM44" s="1182"/>
      <c r="AN44" s="1182"/>
      <c r="AO44" s="1182"/>
      <c r="AP44" s="1182"/>
      <c r="AQ44" s="1182"/>
      <c r="AR44" s="1206">
        <v>0</v>
      </c>
    </row>
    <row r="45" spans="1:44" s="1770" customFormat="1" ht="17.25" customHeight="1">
      <c r="A45" s="258"/>
      <c r="C45" s="257"/>
      <c r="D45" s="2372"/>
      <c r="E45" s="2404"/>
      <c r="F45" s="2406"/>
      <c r="G45" s="2404"/>
      <c r="H45" s="2409"/>
      <c r="I45" s="2411"/>
      <c r="J45" s="2414"/>
      <c r="K45" s="2398"/>
      <c r="L45" s="2398"/>
      <c r="M45" s="2398"/>
      <c r="N45" s="2401"/>
      <c r="O45" s="2398"/>
      <c r="P45" s="1341"/>
      <c r="Q45" s="1220"/>
      <c r="R45" s="1220"/>
      <c r="S45" s="266"/>
      <c r="T45" s="266"/>
      <c r="U45" s="266"/>
      <c r="V45" s="266"/>
      <c r="W45" s="1221"/>
      <c r="X45" s="1182"/>
      <c r="Y45" s="1182"/>
      <c r="Z45" s="1182"/>
      <c r="AA45" s="1182"/>
      <c r="AB45" s="1182"/>
      <c r="AC45" s="1182"/>
      <c r="AD45" s="1182"/>
      <c r="AE45" s="1182"/>
      <c r="AF45" s="1182"/>
      <c r="AG45" s="1182"/>
      <c r="AH45" s="1182"/>
      <c r="AI45" s="1182"/>
      <c r="AJ45" s="1182"/>
      <c r="AK45" s="1182"/>
      <c r="AL45" s="1182"/>
      <c r="AM45" s="1182"/>
      <c r="AN45" s="1182"/>
      <c r="AO45" s="1182"/>
      <c r="AP45" s="1182"/>
      <c r="AQ45" s="1182"/>
      <c r="AR45" s="1206">
        <v>0</v>
      </c>
    </row>
    <row r="46" spans="1:44" s="1770" customFormat="1" ht="17.25" customHeight="1">
      <c r="A46" s="258"/>
      <c r="C46" s="146"/>
      <c r="D46" s="2372"/>
      <c r="E46" s="2404"/>
      <c r="F46" s="2406"/>
      <c r="G46" s="2404"/>
      <c r="H46" s="2409"/>
      <c r="I46" s="2411"/>
      <c r="J46" s="2414"/>
      <c r="K46" s="2398"/>
      <c r="L46" s="1220"/>
      <c r="M46" s="1220"/>
      <c r="N46" s="1220"/>
      <c r="O46" s="1220"/>
      <c r="P46" s="1220"/>
      <c r="Q46" s="1220"/>
      <c r="R46" s="1220"/>
      <c r="S46" s="266"/>
      <c r="T46" s="266"/>
      <c r="U46" s="266"/>
      <c r="V46" s="266"/>
      <c r="W46" s="1221"/>
      <c r="Y46" s="1190"/>
      <c r="Z46" s="1190"/>
      <c r="AA46" s="1190"/>
      <c r="AB46" s="1190"/>
      <c r="AC46" s="1190"/>
      <c r="AD46" s="1190"/>
      <c r="AE46" s="1190"/>
      <c r="AF46" s="1190"/>
      <c r="AG46" s="1190"/>
      <c r="AH46" s="1190"/>
      <c r="AI46" s="1190"/>
      <c r="AJ46" s="1190"/>
      <c r="AK46" s="1190"/>
      <c r="AL46" s="1190"/>
      <c r="AM46" s="1190"/>
      <c r="AN46" s="1190"/>
      <c r="AO46" s="1190"/>
      <c r="AP46" s="1190"/>
      <c r="AQ46" s="1190"/>
      <c r="AR46" s="1249">
        <v>0</v>
      </c>
    </row>
    <row r="47" spans="1:44" s="1770" customFormat="1" ht="17.25" customHeight="1">
      <c r="A47" s="258"/>
      <c r="C47" s="257"/>
      <c r="D47" s="2372"/>
      <c r="E47" s="2404"/>
      <c r="F47" s="2407"/>
      <c r="G47" s="2404"/>
      <c r="H47" s="1222"/>
      <c r="I47" s="1223"/>
      <c r="J47" s="1223"/>
      <c r="K47" s="1223"/>
      <c r="L47" s="1223"/>
      <c r="M47" s="1223"/>
      <c r="N47" s="1223"/>
      <c r="O47" s="1223"/>
      <c r="P47" s="1223"/>
      <c r="Q47" s="1223"/>
      <c r="R47" s="1223"/>
      <c r="S47" s="1224"/>
      <c r="T47" s="1224"/>
      <c r="U47" s="1224"/>
      <c r="V47" s="1224"/>
      <c r="W47" s="1225"/>
      <c r="X47" s="1182"/>
      <c r="Y47" s="1182"/>
      <c r="Z47" s="1182"/>
      <c r="AA47" s="1182"/>
      <c r="AB47" s="1182"/>
      <c r="AC47" s="1182"/>
      <c r="AD47" s="1182"/>
      <c r="AE47" s="1182"/>
      <c r="AF47" s="1182"/>
      <c r="AG47" s="1182"/>
      <c r="AH47" s="1182"/>
      <c r="AI47" s="1182"/>
      <c r="AJ47" s="1182"/>
      <c r="AK47" s="1182"/>
      <c r="AL47" s="1182"/>
      <c r="AM47" s="1182"/>
      <c r="AN47" s="1182"/>
      <c r="AO47" s="1182"/>
      <c r="AP47" s="1182"/>
      <c r="AQ47" s="1182"/>
      <c r="AR47" s="1206">
        <v>0</v>
      </c>
    </row>
    <row r="48" spans="1:44" s="1770" customFormat="1" ht="17.25" customHeight="1">
      <c r="A48" s="258"/>
      <c r="C48" s="146"/>
      <c r="D48" s="2426">
        <v>7</v>
      </c>
      <c r="E48" s="2429" t="s">
        <v>211</v>
      </c>
      <c r="F48" s="2405" t="s">
        <v>19</v>
      </c>
      <c r="G48" s="2429"/>
      <c r="H48" s="2408"/>
      <c r="I48" s="2410"/>
      <c r="J48" s="2412"/>
      <c r="K48" s="2397"/>
      <c r="L48" s="2397"/>
      <c r="M48" s="2397"/>
      <c r="N48" s="2399"/>
      <c r="O48" s="2397"/>
      <c r="P48" s="2397"/>
      <c r="Q48" s="2397"/>
      <c r="R48" s="2402"/>
      <c r="S48" s="2397"/>
      <c r="T48" s="1343"/>
      <c r="U48" s="1343"/>
      <c r="V48" s="1342"/>
      <c r="W48" s="1219"/>
      <c r="X48" s="1190"/>
      <c r="Y48" s="1190"/>
      <c r="Z48" s="1190"/>
      <c r="AA48" s="1190"/>
      <c r="AB48" s="1190"/>
      <c r="AC48" s="1190" t="s">
        <v>212</v>
      </c>
      <c r="AD48" s="1190" t="s">
        <v>213</v>
      </c>
      <c r="AE48" s="1190" t="s">
        <v>214</v>
      </c>
      <c r="AF48" s="1190" t="s">
        <v>215</v>
      </c>
      <c r="AG48" s="1190" t="s">
        <v>216</v>
      </c>
      <c r="AH48" s="1190" t="str">
        <f>IF($E$48=0,"",$E$48)</f>
        <v>Плата за услуги по поддержанию резервной тепловой мощности при отсутствии потребления тепловой энергии</v>
      </c>
      <c r="AI48" s="1190" t="str">
        <f>IF($G$48=0,"",$G$48)</f>
        <v/>
      </c>
      <c r="AJ48" s="1190" t="str">
        <f>IF($J$48=0,"",$J$48)</f>
        <v/>
      </c>
      <c r="AK48" s="1190" t="str">
        <f>IF($K$48="нет","без дифференциации",IF($N$48=0,"",$N$48))</f>
        <v/>
      </c>
      <c r="AL48" s="1190" t="str">
        <f>IF($O$48="нет","без дифференциации",IF($R$48=0,"",$R$48))</f>
        <v/>
      </c>
      <c r="AM48" s="1190" t="str">
        <f>IF($S$48="нет","без дифференциации",IF($V$48=0,"",$V$48))</f>
        <v/>
      </c>
      <c r="AN48" s="1693">
        <f>$I$48</f>
        <v>0</v>
      </c>
      <c r="AO48" s="1190" t="str">
        <f>$I$48&amp;"."&amp;$M$48</f>
        <v>.</v>
      </c>
      <c r="AP48" s="1182" t="str">
        <f>$I$48&amp;"."&amp;$M$48&amp;"."&amp;$Q$48</f>
        <v>..</v>
      </c>
      <c r="AQ48" s="1182" t="str">
        <f>$I$48&amp;"."&amp;$M$48&amp;"."&amp;$Q$48&amp;"."&amp;$U$48</f>
        <v>...</v>
      </c>
      <c r="AR48" s="1231">
        <v>0</v>
      </c>
    </row>
    <row r="49" spans="1:44" s="1770" customFormat="1" ht="17.25" customHeight="1">
      <c r="A49" s="258"/>
      <c r="C49" s="257"/>
      <c r="D49" s="2427"/>
      <c r="E49" s="2430"/>
      <c r="F49" s="2406"/>
      <c r="G49" s="2430"/>
      <c r="H49" s="2409"/>
      <c r="I49" s="2411"/>
      <c r="J49" s="2413"/>
      <c r="K49" s="2398"/>
      <c r="L49" s="2398"/>
      <c r="M49" s="2398"/>
      <c r="N49" s="2400"/>
      <c r="O49" s="2398"/>
      <c r="P49" s="2398"/>
      <c r="Q49" s="2398"/>
      <c r="R49" s="2401"/>
      <c r="S49" s="2398"/>
      <c r="T49" s="1220"/>
      <c r="U49" s="1220"/>
      <c r="V49" s="1220"/>
      <c r="W49" s="1221"/>
      <c r="X49" s="1182"/>
      <c r="Y49" s="1182"/>
      <c r="Z49" s="1182"/>
      <c r="AA49" s="1182"/>
      <c r="AB49" s="1182"/>
      <c r="AC49" s="1182"/>
      <c r="AD49" s="1182"/>
      <c r="AE49" s="1182"/>
      <c r="AF49" s="1182"/>
      <c r="AG49" s="1182"/>
      <c r="AH49" s="1182"/>
      <c r="AI49" s="1182"/>
      <c r="AJ49" s="1182"/>
      <c r="AK49" s="1182"/>
      <c r="AL49" s="1182"/>
      <c r="AM49" s="1182"/>
      <c r="AN49" s="1182"/>
      <c r="AO49" s="1182"/>
      <c r="AP49" s="1182"/>
      <c r="AQ49" s="1182"/>
      <c r="AR49" s="1231">
        <v>0</v>
      </c>
    </row>
    <row r="50" spans="1:44" s="1770" customFormat="1" ht="17.25" customHeight="1">
      <c r="A50" s="258"/>
      <c r="C50" s="257"/>
      <c r="D50" s="2427"/>
      <c r="E50" s="2430"/>
      <c r="F50" s="2406"/>
      <c r="G50" s="2430"/>
      <c r="H50" s="2409"/>
      <c r="I50" s="2411"/>
      <c r="J50" s="2414"/>
      <c r="K50" s="2398"/>
      <c r="L50" s="2398"/>
      <c r="M50" s="2398"/>
      <c r="N50" s="2401"/>
      <c r="O50" s="2398"/>
      <c r="P50" s="1341"/>
      <c r="Q50" s="1220"/>
      <c r="R50" s="1220"/>
      <c r="S50" s="266"/>
      <c r="T50" s="266"/>
      <c r="U50" s="266"/>
      <c r="V50" s="266"/>
      <c r="W50" s="1221"/>
      <c r="X50" s="1182"/>
      <c r="Y50" s="1182"/>
      <c r="Z50" s="1182"/>
      <c r="AA50" s="1182"/>
      <c r="AB50" s="1182"/>
      <c r="AC50" s="1182"/>
      <c r="AD50" s="1182"/>
      <c r="AE50" s="1182"/>
      <c r="AF50" s="1182"/>
      <c r="AG50" s="1182"/>
      <c r="AH50" s="1182"/>
      <c r="AI50" s="1182"/>
      <c r="AJ50" s="1182"/>
      <c r="AK50" s="1182"/>
      <c r="AL50" s="1182"/>
      <c r="AM50" s="1182"/>
      <c r="AN50" s="1182"/>
      <c r="AO50" s="1182"/>
      <c r="AP50" s="1182"/>
      <c r="AQ50" s="1182"/>
      <c r="AR50" s="1231">
        <v>0</v>
      </c>
    </row>
    <row r="51" spans="1:44" s="1770" customFormat="1" ht="17.25" customHeight="1">
      <c r="A51" s="258"/>
      <c r="C51" s="146"/>
      <c r="D51" s="2427"/>
      <c r="E51" s="2430"/>
      <c r="F51" s="2406"/>
      <c r="G51" s="2430"/>
      <c r="H51" s="2409"/>
      <c r="I51" s="2411"/>
      <c r="J51" s="2414"/>
      <c r="K51" s="2398"/>
      <c r="L51" s="1220"/>
      <c r="M51" s="1220"/>
      <c r="N51" s="1220"/>
      <c r="O51" s="1220"/>
      <c r="P51" s="1220"/>
      <c r="Q51" s="1220"/>
      <c r="R51" s="1220"/>
      <c r="S51" s="266"/>
      <c r="T51" s="266"/>
      <c r="U51" s="266"/>
      <c r="V51" s="266"/>
      <c r="W51" s="1221"/>
      <c r="Y51" s="1190"/>
      <c r="Z51" s="1190"/>
      <c r="AA51" s="1190"/>
      <c r="AB51" s="1190"/>
      <c r="AC51" s="1190"/>
      <c r="AD51" s="1190"/>
      <c r="AE51" s="1190"/>
      <c r="AF51" s="1190"/>
      <c r="AG51" s="1190"/>
      <c r="AH51" s="1190"/>
      <c r="AI51" s="1190"/>
      <c r="AJ51" s="1190"/>
      <c r="AK51" s="1190"/>
      <c r="AL51" s="1190"/>
      <c r="AM51" s="1190"/>
      <c r="AN51" s="1190"/>
      <c r="AO51" s="1190"/>
      <c r="AP51" s="1190"/>
      <c r="AQ51" s="1190"/>
      <c r="AR51" s="1249">
        <v>0</v>
      </c>
    </row>
    <row r="52" spans="1:44" s="1770" customFormat="1" ht="17.25" customHeight="1">
      <c r="A52" s="258"/>
      <c r="C52" s="257"/>
      <c r="D52" s="2428"/>
      <c r="E52" s="2431"/>
      <c r="F52" s="2407"/>
      <c r="G52" s="2431"/>
      <c r="H52" s="1222"/>
      <c r="I52" s="1223"/>
      <c r="J52" s="1223"/>
      <c r="K52" s="1223"/>
      <c r="L52" s="1223"/>
      <c r="M52" s="1223"/>
      <c r="N52" s="1223"/>
      <c r="O52" s="1223"/>
      <c r="P52" s="1223"/>
      <c r="Q52" s="1223"/>
      <c r="R52" s="1223"/>
      <c r="S52" s="1224"/>
      <c r="T52" s="1224"/>
      <c r="U52" s="1224"/>
      <c r="V52" s="1224"/>
      <c r="W52" s="1225"/>
      <c r="X52" s="1182"/>
      <c r="Y52" s="1182"/>
      <c r="Z52" s="1182"/>
      <c r="AA52" s="1182"/>
      <c r="AB52" s="1182"/>
      <c r="AC52" s="1182"/>
      <c r="AD52" s="1182"/>
      <c r="AE52" s="1182"/>
      <c r="AF52" s="1182"/>
      <c r="AG52" s="1182"/>
      <c r="AH52" s="1182"/>
      <c r="AI52" s="1182"/>
      <c r="AJ52" s="1182"/>
      <c r="AK52" s="1182"/>
      <c r="AL52" s="1182"/>
      <c r="AM52" s="1182"/>
      <c r="AN52" s="1182"/>
      <c r="AO52" s="1182"/>
      <c r="AP52" s="1182"/>
      <c r="AQ52" s="1182"/>
      <c r="AR52" s="1231">
        <v>0</v>
      </c>
    </row>
    <row r="53" spans="1:44" s="1770" customFormat="1" ht="17.25" customHeight="1">
      <c r="A53" s="258"/>
      <c r="C53" s="146"/>
      <c r="D53" s="2396">
        <v>8</v>
      </c>
      <c r="E53" s="2403" t="s">
        <v>217</v>
      </c>
      <c r="F53" s="2405" t="s">
        <v>19</v>
      </c>
      <c r="G53" s="2403"/>
      <c r="H53" s="2408"/>
      <c r="I53" s="2410"/>
      <c r="J53" s="2412"/>
      <c r="K53" s="2397"/>
      <c r="L53" s="2397"/>
      <c r="M53" s="2397"/>
      <c r="N53" s="2399"/>
      <c r="O53" s="2397"/>
      <c r="P53" s="2397"/>
      <c r="Q53" s="2397"/>
      <c r="R53" s="2402"/>
      <c r="S53" s="2397"/>
      <c r="T53" s="1393"/>
      <c r="U53" s="1393"/>
      <c r="V53" s="1395"/>
      <c r="W53" s="1219"/>
      <c r="X53" s="1190"/>
      <c r="Y53" s="1190"/>
      <c r="Z53" s="1190"/>
      <c r="AA53" s="1190"/>
      <c r="AB53" s="1190"/>
      <c r="AC53" s="1190" t="s">
        <v>218</v>
      </c>
      <c r="AD53" s="1190" t="s">
        <v>219</v>
      </c>
      <c r="AE53" s="1190" t="s">
        <v>220</v>
      </c>
      <c r="AF53" s="1190" t="s">
        <v>221</v>
      </c>
      <c r="AG53" s="1190" t="s">
        <v>222</v>
      </c>
      <c r="AH53" s="1190" t="str">
        <f>IF($E$53=0,"",$E$53)</f>
        <v>Плата за подключение (технологическое присоединение) к системе теплоснабжения</v>
      </c>
      <c r="AI53" s="1190" t="str">
        <f>IF($G$53=0,"",$G$53)</f>
        <v/>
      </c>
      <c r="AJ53" s="1190" t="str">
        <f>IF($J$53=0,"",$J$53)</f>
        <v/>
      </c>
      <c r="AK53" s="1190" t="str">
        <f>IF($K$53="нет","без дифференциации",IF($N$53=0,"",$N$53))</f>
        <v/>
      </c>
      <c r="AL53" s="1190" t="str">
        <f>IF($O$53="нет","без дифференциации",IF($R$53=0,"",$R$53))</f>
        <v/>
      </c>
      <c r="AM53" s="1190" t="str">
        <f>IF($S$53="нет","без дифференциации",IF($V$53=0,"",$V$53))</f>
        <v/>
      </c>
      <c r="AN53" s="1693">
        <f>$I$53</f>
        <v>0</v>
      </c>
      <c r="AO53" s="1190" t="str">
        <f>$I$53&amp;"."&amp;$M$53</f>
        <v>.</v>
      </c>
      <c r="AP53" s="1182" t="str">
        <f>$I$53&amp;"."&amp;$M$53&amp;"."&amp;$Q$53</f>
        <v>..</v>
      </c>
      <c r="AQ53" s="1182" t="str">
        <f>$I$53&amp;"."&amp;$M$53&amp;"."&amp;$Q$53&amp;"."&amp;$U$53</f>
        <v>...</v>
      </c>
      <c r="AR53" s="1231">
        <v>0</v>
      </c>
    </row>
    <row r="54" spans="1:44" s="1770" customFormat="1" ht="17.25" customHeight="1">
      <c r="A54" s="258"/>
      <c r="C54" s="257"/>
      <c r="D54" s="2396"/>
      <c r="E54" s="2403"/>
      <c r="F54" s="2406"/>
      <c r="G54" s="2403"/>
      <c r="H54" s="2409"/>
      <c r="I54" s="2411"/>
      <c r="J54" s="2413"/>
      <c r="K54" s="2398"/>
      <c r="L54" s="2398"/>
      <c r="M54" s="2398"/>
      <c r="N54" s="2400"/>
      <c r="O54" s="2398"/>
      <c r="P54" s="2398"/>
      <c r="Q54" s="2398"/>
      <c r="R54" s="2401"/>
      <c r="S54" s="2398"/>
      <c r="T54" s="1220"/>
      <c r="U54" s="1220"/>
      <c r="V54" s="1220"/>
      <c r="W54" s="1221"/>
      <c r="X54" s="1182"/>
      <c r="Y54" s="1182"/>
      <c r="Z54" s="1182"/>
      <c r="AA54" s="1182"/>
      <c r="AB54" s="1182"/>
      <c r="AC54" s="1182"/>
      <c r="AD54" s="1182"/>
      <c r="AE54" s="1182"/>
      <c r="AF54" s="1182"/>
      <c r="AG54" s="1182"/>
      <c r="AH54" s="1182"/>
      <c r="AI54" s="1182"/>
      <c r="AJ54" s="1182"/>
      <c r="AK54" s="1182"/>
      <c r="AL54" s="1182"/>
      <c r="AM54" s="1182"/>
      <c r="AN54" s="1182"/>
      <c r="AO54" s="1182"/>
      <c r="AP54" s="1182"/>
      <c r="AQ54" s="1182"/>
      <c r="AR54" s="1231">
        <v>0</v>
      </c>
    </row>
    <row r="55" spans="1:44" s="1770" customFormat="1" ht="17.25" customHeight="1">
      <c r="A55" s="258"/>
      <c r="C55" s="257"/>
      <c r="D55" s="2372"/>
      <c r="E55" s="2404"/>
      <c r="F55" s="2406"/>
      <c r="G55" s="2404"/>
      <c r="H55" s="2409"/>
      <c r="I55" s="2411"/>
      <c r="J55" s="2414"/>
      <c r="K55" s="2398"/>
      <c r="L55" s="2398"/>
      <c r="M55" s="2398"/>
      <c r="N55" s="2401"/>
      <c r="O55" s="2398"/>
      <c r="P55" s="1394"/>
      <c r="Q55" s="1220"/>
      <c r="R55" s="1220"/>
      <c r="S55" s="266"/>
      <c r="T55" s="266"/>
      <c r="U55" s="266"/>
      <c r="V55" s="266"/>
      <c r="W55" s="1221"/>
      <c r="X55" s="1182"/>
      <c r="Y55" s="1182"/>
      <c r="Z55" s="1182"/>
      <c r="AA55" s="1182"/>
      <c r="AB55" s="1182"/>
      <c r="AC55" s="1182"/>
      <c r="AD55" s="1182"/>
      <c r="AE55" s="1182"/>
      <c r="AF55" s="1182"/>
      <c r="AG55" s="1182"/>
      <c r="AH55" s="1182"/>
      <c r="AI55" s="1182"/>
      <c r="AJ55" s="1182"/>
      <c r="AK55" s="1182"/>
      <c r="AL55" s="1182"/>
      <c r="AM55" s="1182"/>
      <c r="AN55" s="1182"/>
      <c r="AO55" s="1182"/>
      <c r="AP55" s="1182"/>
      <c r="AQ55" s="1182"/>
      <c r="AR55" s="1231">
        <v>0</v>
      </c>
    </row>
    <row r="56" spans="1:44" s="1770" customFormat="1" ht="17.25" customHeight="1">
      <c r="A56" s="258"/>
      <c r="C56" s="146"/>
      <c r="D56" s="2372"/>
      <c r="E56" s="2404"/>
      <c r="F56" s="2406"/>
      <c r="G56" s="2404"/>
      <c r="H56" s="2409"/>
      <c r="I56" s="2411"/>
      <c r="J56" s="2414"/>
      <c r="K56" s="2398"/>
      <c r="L56" s="1220"/>
      <c r="M56" s="1220"/>
      <c r="N56" s="1220"/>
      <c r="O56" s="1220"/>
      <c r="P56" s="1220"/>
      <c r="Q56" s="1220"/>
      <c r="R56" s="1220"/>
      <c r="S56" s="266"/>
      <c r="T56" s="266"/>
      <c r="U56" s="266"/>
      <c r="V56" s="266"/>
      <c r="W56" s="1221"/>
      <c r="Y56" s="1190"/>
      <c r="Z56" s="1190"/>
      <c r="AA56" s="1190"/>
      <c r="AB56" s="1190"/>
      <c r="AC56" s="1190"/>
      <c r="AD56" s="1190"/>
      <c r="AE56" s="1190"/>
      <c r="AF56" s="1190"/>
      <c r="AG56" s="1190"/>
      <c r="AH56" s="1190"/>
      <c r="AI56" s="1190"/>
      <c r="AJ56" s="1190"/>
      <c r="AK56" s="1190"/>
      <c r="AL56" s="1190"/>
      <c r="AM56" s="1190"/>
      <c r="AN56" s="1190"/>
      <c r="AO56" s="1190"/>
      <c r="AP56" s="1190"/>
      <c r="AQ56" s="1190"/>
      <c r="AR56" s="1249">
        <v>0</v>
      </c>
    </row>
    <row r="57" spans="1:44" s="1770" customFormat="1" ht="17.25" customHeight="1">
      <c r="A57" s="258"/>
      <c r="C57" s="257"/>
      <c r="D57" s="2372"/>
      <c r="E57" s="2404"/>
      <c r="F57" s="2407"/>
      <c r="G57" s="2404"/>
      <c r="H57" s="1222"/>
      <c r="I57" s="1223"/>
      <c r="J57" s="1223"/>
      <c r="K57" s="1223"/>
      <c r="L57" s="1223"/>
      <c r="M57" s="1223"/>
      <c r="N57" s="1223"/>
      <c r="O57" s="1223"/>
      <c r="P57" s="1223"/>
      <c r="Q57" s="1223"/>
      <c r="R57" s="1223"/>
      <c r="S57" s="1224"/>
      <c r="T57" s="1224"/>
      <c r="U57" s="1224"/>
      <c r="V57" s="1224"/>
      <c r="W57" s="1225"/>
      <c r="X57" s="1182"/>
      <c r="Y57" s="1182"/>
      <c r="Z57" s="1182"/>
      <c r="AA57" s="1182"/>
      <c r="AB57" s="1182"/>
      <c r="AC57" s="1182"/>
      <c r="AD57" s="1182"/>
      <c r="AE57" s="1182"/>
      <c r="AF57" s="1182"/>
      <c r="AG57" s="1182"/>
      <c r="AH57" s="1182"/>
      <c r="AI57" s="1182"/>
      <c r="AJ57" s="1182"/>
      <c r="AK57" s="1182"/>
      <c r="AL57" s="1182"/>
      <c r="AM57" s="1182"/>
      <c r="AN57" s="1182"/>
      <c r="AO57" s="1182"/>
      <c r="AP57" s="1182"/>
      <c r="AQ57" s="1182"/>
      <c r="AR57" s="1231">
        <v>0</v>
      </c>
    </row>
    <row r="58" spans="1:44" s="1770" customFormat="1" ht="17.25" customHeight="1">
      <c r="A58" s="258"/>
      <c r="C58" s="146"/>
      <c r="D58" s="2396">
        <v>9</v>
      </c>
      <c r="E58" s="2403" t="s">
        <v>223</v>
      </c>
      <c r="F58" s="2405" t="s">
        <v>19</v>
      </c>
      <c r="G58" s="2403"/>
      <c r="H58" s="2408"/>
      <c r="I58" s="2410"/>
      <c r="J58" s="2412"/>
      <c r="K58" s="2397"/>
      <c r="L58" s="2397"/>
      <c r="M58" s="2397"/>
      <c r="N58" s="2399"/>
      <c r="O58" s="2397"/>
      <c r="P58" s="2397"/>
      <c r="Q58" s="2397"/>
      <c r="R58" s="2402"/>
      <c r="S58" s="2397"/>
      <c r="T58" s="1845"/>
      <c r="U58" s="1845"/>
      <c r="V58" s="1847"/>
      <c r="W58" s="1219"/>
      <c r="X58" s="1190"/>
      <c r="Y58" s="1190"/>
      <c r="Z58" s="1190"/>
      <c r="AA58" s="1190"/>
      <c r="AB58" s="1190"/>
      <c r="AC58" s="1190" t="s">
        <v>224</v>
      </c>
      <c r="AD58" s="1190" t="s">
        <v>225</v>
      </c>
      <c r="AE58" s="1190" t="s">
        <v>226</v>
      </c>
      <c r="AF58" s="1190" t="s">
        <v>227</v>
      </c>
      <c r="AG58" s="1190" t="s">
        <v>228</v>
      </c>
      <c r="AH58" s="1190" t="str">
        <f>IF($E$58=0,"",$E$58)</f>
        <v>Плата за подключение (технологическое присоединение) к системе теплоснабжения (индивидуальная)</v>
      </c>
      <c r="AI58" s="1190" t="str">
        <f>IF($G$58=0,"",$G$58)</f>
        <v/>
      </c>
      <c r="AJ58" s="1190" t="str">
        <f>IF($J$58=0,"",$J$58)</f>
        <v/>
      </c>
      <c r="AK58" s="1190" t="str">
        <f>IF($K$58="нет","без дифференциации",IF($N$58=0,"",$N$58))</f>
        <v/>
      </c>
      <c r="AL58" s="1190" t="str">
        <f>IF($O$58="нет","без дифференциации",IF($R$58=0,"",$R$58))</f>
        <v/>
      </c>
      <c r="AM58" s="1190" t="str">
        <f>IF($S$58="нет","без дифференциации",IF($V$58=0,"",$V$58))</f>
        <v/>
      </c>
      <c r="AN58" s="1693">
        <f>$I$58</f>
        <v>0</v>
      </c>
      <c r="AO58" s="1190" t="str">
        <f>$I$58&amp;"."&amp;$M$58</f>
        <v>.</v>
      </c>
      <c r="AP58" s="1189" t="str">
        <f>$I$58&amp;"."&amp;$M$58&amp;"."&amp;$Q$58</f>
        <v>..</v>
      </c>
      <c r="AQ58" s="1189" t="str">
        <f>$I$58&amp;"."&amp;$M$58&amp;"."&amp;$Q$58&amp;"."&amp;$U$58</f>
        <v>...</v>
      </c>
      <c r="AR58" s="1390">
        <v>0</v>
      </c>
    </row>
    <row r="59" spans="1:44" s="1770" customFormat="1" ht="17.25" customHeight="1">
      <c r="A59" s="258"/>
      <c r="C59" s="257"/>
      <c r="D59" s="2396"/>
      <c r="E59" s="2403"/>
      <c r="F59" s="2406"/>
      <c r="G59" s="2403"/>
      <c r="H59" s="2409"/>
      <c r="I59" s="2411"/>
      <c r="J59" s="2413"/>
      <c r="K59" s="2398"/>
      <c r="L59" s="2398"/>
      <c r="M59" s="2398"/>
      <c r="N59" s="2400"/>
      <c r="O59" s="2398"/>
      <c r="P59" s="2398"/>
      <c r="Q59" s="2398"/>
      <c r="R59" s="2401"/>
      <c r="S59" s="2398"/>
      <c r="T59" s="1848"/>
      <c r="U59" s="1848"/>
      <c r="V59" s="1848"/>
      <c r="W59" s="1849"/>
      <c r="X59" s="1189"/>
      <c r="Y59" s="1189"/>
      <c r="Z59" s="1189"/>
      <c r="AA59" s="1189"/>
      <c r="AB59" s="1189"/>
      <c r="AC59" s="1189"/>
      <c r="AD59" s="1189"/>
      <c r="AE59" s="1189"/>
      <c r="AF59" s="1189"/>
      <c r="AG59" s="1189"/>
      <c r="AH59" s="1189"/>
      <c r="AI59" s="1189"/>
      <c r="AJ59" s="1189"/>
      <c r="AK59" s="1189"/>
      <c r="AL59" s="1189"/>
      <c r="AM59" s="1189"/>
      <c r="AN59" s="1189"/>
      <c r="AO59" s="1189"/>
      <c r="AP59" s="1189"/>
      <c r="AQ59" s="1189"/>
      <c r="AR59" s="1390">
        <v>0</v>
      </c>
    </row>
    <row r="60" spans="1:44" s="1770" customFormat="1" ht="17.25" customHeight="1">
      <c r="A60" s="258"/>
      <c r="C60" s="257"/>
      <c r="D60" s="2372"/>
      <c r="E60" s="2404"/>
      <c r="F60" s="2406"/>
      <c r="G60" s="2404"/>
      <c r="H60" s="2409"/>
      <c r="I60" s="2411"/>
      <c r="J60" s="2414"/>
      <c r="K60" s="2398"/>
      <c r="L60" s="2398"/>
      <c r="M60" s="2398"/>
      <c r="N60" s="2401"/>
      <c r="O60" s="2398"/>
      <c r="P60" s="1846"/>
      <c r="Q60" s="1848"/>
      <c r="R60" s="1848"/>
      <c r="S60" s="266"/>
      <c r="T60" s="266"/>
      <c r="U60" s="266"/>
      <c r="V60" s="266"/>
      <c r="W60" s="1849"/>
      <c r="X60" s="1189"/>
      <c r="Y60" s="1189"/>
      <c r="Z60" s="1189"/>
      <c r="AA60" s="1189"/>
      <c r="AB60" s="1189"/>
      <c r="AC60" s="1189"/>
      <c r="AD60" s="1189"/>
      <c r="AE60" s="1189"/>
      <c r="AF60" s="1189"/>
      <c r="AG60" s="1189"/>
      <c r="AH60" s="1189"/>
      <c r="AI60" s="1189"/>
      <c r="AJ60" s="1189"/>
      <c r="AK60" s="1189"/>
      <c r="AL60" s="1189"/>
      <c r="AM60" s="1189"/>
      <c r="AN60" s="1189"/>
      <c r="AO60" s="1189"/>
      <c r="AP60" s="1189"/>
      <c r="AQ60" s="1189"/>
      <c r="AR60" s="1390">
        <v>0</v>
      </c>
    </row>
    <row r="61" spans="1:44" s="1770" customFormat="1" ht="17.25" customHeight="1">
      <c r="A61" s="258"/>
      <c r="C61" s="146"/>
      <c r="D61" s="2372"/>
      <c r="E61" s="2404"/>
      <c r="F61" s="2406"/>
      <c r="G61" s="2404"/>
      <c r="H61" s="2409"/>
      <c r="I61" s="2411"/>
      <c r="J61" s="2414"/>
      <c r="K61" s="2398"/>
      <c r="L61" s="1848"/>
      <c r="M61" s="1848"/>
      <c r="N61" s="1848"/>
      <c r="O61" s="1848"/>
      <c r="P61" s="1848"/>
      <c r="Q61" s="1848"/>
      <c r="R61" s="1848"/>
      <c r="S61" s="266"/>
      <c r="T61" s="266"/>
      <c r="U61" s="266"/>
      <c r="V61" s="266"/>
      <c r="W61" s="1849"/>
      <c r="Y61" s="1190"/>
      <c r="Z61" s="1190"/>
      <c r="AA61" s="1190"/>
      <c r="AB61" s="1190"/>
      <c r="AC61" s="1190"/>
      <c r="AD61" s="1190"/>
      <c r="AE61" s="1190"/>
      <c r="AF61" s="1190"/>
      <c r="AG61" s="1190"/>
      <c r="AH61" s="1190"/>
      <c r="AI61" s="1190"/>
      <c r="AJ61" s="1190"/>
      <c r="AK61" s="1190"/>
      <c r="AL61" s="1190"/>
      <c r="AM61" s="1190"/>
      <c r="AN61" s="1190"/>
      <c r="AO61" s="1190"/>
      <c r="AP61" s="1190"/>
      <c r="AQ61" s="1190"/>
      <c r="AR61" s="1390">
        <v>0</v>
      </c>
    </row>
    <row r="62" spans="1:44" s="1770" customFormat="1" ht="17.25" customHeight="1">
      <c r="A62" s="258"/>
      <c r="C62" s="257"/>
      <c r="D62" s="2372"/>
      <c r="E62" s="2404"/>
      <c r="F62" s="2407"/>
      <c r="G62" s="2404"/>
      <c r="H62" s="1222"/>
      <c r="I62" s="1850"/>
      <c r="J62" s="1850"/>
      <c r="K62" s="1850"/>
      <c r="L62" s="1850"/>
      <c r="M62" s="1850"/>
      <c r="N62" s="1850"/>
      <c r="O62" s="1850"/>
      <c r="P62" s="1850"/>
      <c r="Q62" s="1850"/>
      <c r="R62" s="1850"/>
      <c r="S62" s="1224"/>
      <c r="T62" s="1224"/>
      <c r="U62" s="1224"/>
      <c r="V62" s="1224"/>
      <c r="W62" s="1851"/>
      <c r="X62" s="1189"/>
      <c r="Y62" s="1189"/>
      <c r="Z62" s="1189"/>
      <c r="AA62" s="1189"/>
      <c r="AB62" s="1189"/>
      <c r="AC62" s="1189"/>
      <c r="AD62" s="1189"/>
      <c r="AE62" s="1189"/>
      <c r="AF62" s="1189"/>
      <c r="AG62" s="1189"/>
      <c r="AH62" s="1189"/>
      <c r="AI62" s="1189"/>
      <c r="AJ62" s="1189"/>
      <c r="AK62" s="1189"/>
      <c r="AL62" s="1189"/>
      <c r="AM62" s="1189"/>
      <c r="AN62" s="1189"/>
      <c r="AO62" s="1189"/>
      <c r="AP62" s="1189"/>
      <c r="AQ62" s="1189"/>
      <c r="AR62" s="1390">
        <v>0</v>
      </c>
    </row>
    <row r="63" spans="1:44" s="1770" customFormat="1" ht="17.25" customHeight="1">
      <c r="A63" s="258"/>
      <c r="C63" s="146"/>
      <c r="D63" s="2396">
        <v>10</v>
      </c>
      <c r="E63" s="2403" t="s">
        <v>229</v>
      </c>
      <c r="F63" s="2405" t="s">
        <v>19</v>
      </c>
      <c r="G63" s="2403"/>
      <c r="H63" s="2408"/>
      <c r="I63" s="2410"/>
      <c r="J63" s="2412"/>
      <c r="K63" s="2397"/>
      <c r="L63" s="2397"/>
      <c r="M63" s="2397"/>
      <c r="N63" s="2399"/>
      <c r="O63" s="2397"/>
      <c r="P63" s="2397"/>
      <c r="Q63" s="2397"/>
      <c r="R63" s="2402"/>
      <c r="S63" s="2397"/>
      <c r="T63" s="1845"/>
      <c r="U63" s="1845"/>
      <c r="V63" s="1847"/>
      <c r="W63" s="1219"/>
      <c r="X63" s="1190"/>
      <c r="Y63" s="1190"/>
      <c r="Z63" s="1190"/>
      <c r="AA63" s="1190"/>
      <c r="AB63" s="1190"/>
      <c r="AC63" s="1190" t="s">
        <v>230</v>
      </c>
      <c r="AD63" s="1190" t="s">
        <v>231</v>
      </c>
      <c r="AE63" s="1190" t="s">
        <v>232</v>
      </c>
      <c r="AF63" s="1190" t="s">
        <v>233</v>
      </c>
      <c r="AG63" s="1190" t="s">
        <v>234</v>
      </c>
      <c r="AH63" s="1190" t="str">
        <f>IF($E$63=0,"",$E$63)</f>
        <v>Предельный уровень цены на тепловую энергию (мощность), поставляемую теплоснабжающими организациями потребителям</v>
      </c>
      <c r="AI63" s="1190" t="str">
        <f>IF($G$63=0,"",$G$63)</f>
        <v/>
      </c>
      <c r="AJ63" s="1190" t="str">
        <f>IF($J$63=0,"",$J$63)</f>
        <v/>
      </c>
      <c r="AK63" s="1190" t="str">
        <f>IF($K$63="нет","без дифференциации",IF($N$63=0,"",$N$63))</f>
        <v/>
      </c>
      <c r="AL63" s="1190" t="str">
        <f>IF($O$63="нет","без дифференциации",IF($R$63=0,"",$R$63))</f>
        <v/>
      </c>
      <c r="AM63" s="1190" t="str">
        <f>IF($S$63="нет","без дифференциации",IF($V$63=0,"",$V$63))</f>
        <v/>
      </c>
      <c r="AN63" s="1693">
        <f>$I$63</f>
        <v>0</v>
      </c>
      <c r="AO63" s="1190" t="str">
        <f>$I$63&amp;"."&amp;$M$63</f>
        <v>.</v>
      </c>
      <c r="AP63" s="1189" t="str">
        <f>$I$63&amp;"."&amp;$M$63&amp;"."&amp;$Q$63</f>
        <v>..</v>
      </c>
      <c r="AQ63" s="1189" t="str">
        <f>$I$63&amp;"."&amp;$M$63&amp;"."&amp;$Q$63&amp;"."&amp;$U$63</f>
        <v>...</v>
      </c>
      <c r="AR63" s="1390">
        <v>0</v>
      </c>
    </row>
    <row r="64" spans="1:44" s="1770" customFormat="1" ht="17.25" customHeight="1">
      <c r="A64" s="258"/>
      <c r="C64" s="257"/>
      <c r="D64" s="2396"/>
      <c r="E64" s="2403"/>
      <c r="F64" s="2406"/>
      <c r="G64" s="2403"/>
      <c r="H64" s="2409"/>
      <c r="I64" s="2411"/>
      <c r="J64" s="2413"/>
      <c r="K64" s="2398"/>
      <c r="L64" s="2398"/>
      <c r="M64" s="2398"/>
      <c r="N64" s="2400"/>
      <c r="O64" s="2398"/>
      <c r="P64" s="2398"/>
      <c r="Q64" s="2398"/>
      <c r="R64" s="2401"/>
      <c r="S64" s="2398"/>
      <c r="T64" s="1848"/>
      <c r="U64" s="1848"/>
      <c r="V64" s="1848"/>
      <c r="W64" s="1849"/>
      <c r="X64" s="1189"/>
      <c r="Y64" s="1189"/>
      <c r="Z64" s="1189"/>
      <c r="AA64" s="1189"/>
      <c r="AB64" s="1189"/>
      <c r="AC64" s="1189"/>
      <c r="AD64" s="1189"/>
      <c r="AE64" s="1189"/>
      <c r="AF64" s="1189"/>
      <c r="AG64" s="1189"/>
      <c r="AH64" s="1189"/>
      <c r="AI64" s="1189"/>
      <c r="AJ64" s="1189"/>
      <c r="AK64" s="1189"/>
      <c r="AL64" s="1189"/>
      <c r="AM64" s="1189"/>
      <c r="AN64" s="1189"/>
      <c r="AO64" s="1189"/>
      <c r="AP64" s="1189"/>
      <c r="AQ64" s="1189"/>
      <c r="AR64" s="1390">
        <v>0</v>
      </c>
    </row>
    <row r="65" spans="1:44" s="1770" customFormat="1" ht="17.25" customHeight="1">
      <c r="A65" s="258"/>
      <c r="C65" s="257"/>
      <c r="D65" s="2372"/>
      <c r="E65" s="2404"/>
      <c r="F65" s="2406"/>
      <c r="G65" s="2404"/>
      <c r="H65" s="2409"/>
      <c r="I65" s="2411"/>
      <c r="J65" s="2414"/>
      <c r="K65" s="2398"/>
      <c r="L65" s="2398"/>
      <c r="M65" s="2398"/>
      <c r="N65" s="2401"/>
      <c r="O65" s="2398"/>
      <c r="P65" s="1846"/>
      <c r="Q65" s="1848"/>
      <c r="R65" s="1848"/>
      <c r="S65" s="266"/>
      <c r="T65" s="266"/>
      <c r="U65" s="266"/>
      <c r="V65" s="266"/>
      <c r="W65" s="1849"/>
      <c r="X65" s="1189"/>
      <c r="Y65" s="1189"/>
      <c r="Z65" s="1189"/>
      <c r="AA65" s="1189"/>
      <c r="AB65" s="1189"/>
      <c r="AC65" s="1189"/>
      <c r="AD65" s="1189"/>
      <c r="AE65" s="1189"/>
      <c r="AF65" s="1189"/>
      <c r="AG65" s="1189"/>
      <c r="AH65" s="1189"/>
      <c r="AI65" s="1189"/>
      <c r="AJ65" s="1189"/>
      <c r="AK65" s="1189"/>
      <c r="AL65" s="1189"/>
      <c r="AM65" s="1189"/>
      <c r="AN65" s="1189"/>
      <c r="AO65" s="1189"/>
      <c r="AP65" s="1189"/>
      <c r="AQ65" s="1189"/>
      <c r="AR65" s="1390">
        <v>0</v>
      </c>
    </row>
    <row r="66" spans="1:44" s="1770" customFormat="1" ht="17.25" customHeight="1">
      <c r="A66" s="258"/>
      <c r="C66" s="146"/>
      <c r="D66" s="2372"/>
      <c r="E66" s="2404"/>
      <c r="F66" s="2406"/>
      <c r="G66" s="2404"/>
      <c r="H66" s="2409"/>
      <c r="I66" s="2411"/>
      <c r="J66" s="2414"/>
      <c r="K66" s="2398"/>
      <c r="L66" s="1848"/>
      <c r="M66" s="1848"/>
      <c r="N66" s="1848"/>
      <c r="O66" s="1848"/>
      <c r="P66" s="1848"/>
      <c r="Q66" s="1848"/>
      <c r="R66" s="1848"/>
      <c r="S66" s="266"/>
      <c r="T66" s="266"/>
      <c r="U66" s="266"/>
      <c r="V66" s="266"/>
      <c r="W66" s="1849"/>
      <c r="Y66" s="1190"/>
      <c r="Z66" s="1190"/>
      <c r="AA66" s="1190"/>
      <c r="AB66" s="1190"/>
      <c r="AC66" s="1190"/>
      <c r="AD66" s="1190"/>
      <c r="AE66" s="1190"/>
      <c r="AF66" s="1190"/>
      <c r="AG66" s="1190"/>
      <c r="AH66" s="1190"/>
      <c r="AI66" s="1190"/>
      <c r="AJ66" s="1190"/>
      <c r="AK66" s="1190"/>
      <c r="AL66" s="1190"/>
      <c r="AM66" s="1190"/>
      <c r="AN66" s="1190"/>
      <c r="AO66" s="1190"/>
      <c r="AP66" s="1190"/>
      <c r="AQ66" s="1190"/>
      <c r="AR66" s="1390">
        <v>0</v>
      </c>
    </row>
    <row r="67" spans="1:44" s="1770" customFormat="1" ht="17.25" customHeight="1">
      <c r="A67" s="258"/>
      <c r="C67" s="257"/>
      <c r="D67" s="2372"/>
      <c r="E67" s="2404"/>
      <c r="F67" s="2407"/>
      <c r="G67" s="2404"/>
      <c r="H67" s="1222"/>
      <c r="I67" s="1850"/>
      <c r="J67" s="1850"/>
      <c r="K67" s="1850"/>
      <c r="L67" s="1850"/>
      <c r="M67" s="1850"/>
      <c r="N67" s="1850"/>
      <c r="O67" s="1850"/>
      <c r="P67" s="1850"/>
      <c r="Q67" s="1850"/>
      <c r="R67" s="1850"/>
      <c r="S67" s="1224"/>
      <c r="T67" s="1224"/>
      <c r="U67" s="1224"/>
      <c r="V67" s="1224"/>
      <c r="W67" s="1851"/>
      <c r="X67" s="1189"/>
      <c r="Y67" s="1189"/>
      <c r="Z67" s="1189"/>
      <c r="AA67" s="1189"/>
      <c r="AB67" s="1189"/>
      <c r="AC67" s="1189"/>
      <c r="AD67" s="1189"/>
      <c r="AE67" s="1189"/>
      <c r="AF67" s="1189"/>
      <c r="AG67" s="1189"/>
      <c r="AH67" s="1189"/>
      <c r="AI67" s="1189"/>
      <c r="AJ67" s="1189"/>
      <c r="AK67" s="1189"/>
      <c r="AL67" s="1189"/>
      <c r="AM67" s="1189"/>
      <c r="AN67" s="1189"/>
      <c r="AO67" s="1189"/>
      <c r="AP67" s="1189"/>
      <c r="AQ67" s="1189"/>
      <c r="AR67" s="1390">
        <v>0</v>
      </c>
    </row>
    <row r="68" spans="1:44" ht="11.25" customHeight="1">
      <c r="AR68" s="43">
        <v>0</v>
      </c>
    </row>
    <row r="69" spans="1:44" ht="11.25" customHeight="1">
      <c r="E69" s="2434" t="s">
        <v>235</v>
      </c>
      <c r="F69" s="2434"/>
      <c r="G69" s="2434"/>
      <c r="H69" s="2434"/>
      <c r="I69" s="2434"/>
      <c r="J69" s="2434"/>
      <c r="K69" s="2434"/>
      <c r="L69" s="2434"/>
      <c r="M69" s="2434"/>
      <c r="N69" s="2434"/>
      <c r="O69" s="2434"/>
      <c r="P69" s="2434"/>
      <c r="Q69" s="2434"/>
      <c r="R69" s="2434"/>
      <c r="S69" s="2434"/>
      <c r="T69" s="2434"/>
      <c r="U69" s="2434"/>
      <c r="V69" s="2434"/>
      <c r="W69" s="2434"/>
      <c r="AR69" s="43">
        <v>0</v>
      </c>
    </row>
    <row r="70" spans="1:44" ht="36.75" customHeight="1">
      <c r="E70" s="2432" t="s">
        <v>236</v>
      </c>
      <c r="F70" s="2432"/>
      <c r="G70" s="2433"/>
      <c r="H70" s="2433"/>
      <c r="I70" s="2433"/>
      <c r="J70" s="2433"/>
      <c r="K70" s="2433"/>
      <c r="L70" s="2433"/>
      <c r="M70" s="2433"/>
      <c r="N70" s="2433"/>
      <c r="O70" s="2433"/>
      <c r="P70" s="2433"/>
      <c r="Q70" s="2433"/>
      <c r="R70" s="2433"/>
      <c r="S70" s="2433"/>
      <c r="T70" s="2433"/>
      <c r="U70" s="2433"/>
      <c r="V70" s="2433"/>
      <c r="W70" s="2433"/>
      <c r="AR70" s="43">
        <v>0</v>
      </c>
    </row>
    <row r="71" spans="1:44" ht="28.5" customHeight="1">
      <c r="E71" s="2432" t="s">
        <v>237</v>
      </c>
      <c r="F71" s="2432"/>
      <c r="G71" s="2433"/>
      <c r="H71" s="2433"/>
      <c r="I71" s="2433"/>
      <c r="J71" s="2433"/>
      <c r="K71" s="2433"/>
      <c r="L71" s="2433"/>
      <c r="M71" s="2433"/>
      <c r="N71" s="2433"/>
      <c r="O71" s="2433"/>
      <c r="P71" s="2433"/>
      <c r="Q71" s="2433"/>
      <c r="R71" s="2433"/>
      <c r="S71" s="2433"/>
      <c r="T71" s="2433"/>
      <c r="U71" s="2433"/>
      <c r="V71" s="2433"/>
      <c r="W71" s="2433"/>
      <c r="AR71" s="43">
        <v>0</v>
      </c>
    </row>
    <row r="72" spans="1:44" ht="27" customHeight="1">
      <c r="E72" s="2432" t="s">
        <v>238</v>
      </c>
      <c r="F72" s="2432"/>
      <c r="G72" s="2433"/>
      <c r="H72" s="2433"/>
      <c r="I72" s="2433"/>
      <c r="J72" s="2433"/>
      <c r="K72" s="2433"/>
      <c r="L72" s="2433"/>
      <c r="M72" s="2433"/>
      <c r="N72" s="2433"/>
      <c r="O72" s="2433"/>
      <c r="P72" s="2433"/>
      <c r="Q72" s="2433"/>
      <c r="R72" s="2433"/>
      <c r="S72" s="2433"/>
      <c r="T72" s="2433"/>
      <c r="U72" s="2433"/>
      <c r="V72" s="2433"/>
      <c r="W72" s="2433"/>
      <c r="AR72" s="43">
        <v>0</v>
      </c>
    </row>
    <row r="73" spans="1:44" ht="17.25" customHeight="1">
      <c r="E73" s="2432" t="s">
        <v>239</v>
      </c>
      <c r="F73" s="2432"/>
      <c r="G73" s="2433"/>
      <c r="H73" s="2433"/>
      <c r="I73" s="2433"/>
      <c r="J73" s="2433"/>
      <c r="K73" s="2433"/>
      <c r="L73" s="2433"/>
      <c r="M73" s="2433"/>
      <c r="N73" s="2433"/>
      <c r="O73" s="2433"/>
      <c r="P73" s="2433"/>
      <c r="Q73" s="2433"/>
      <c r="R73" s="2433"/>
      <c r="S73" s="2433"/>
      <c r="T73" s="2433"/>
      <c r="U73" s="2433"/>
      <c r="V73" s="2433"/>
      <c r="W73" s="2433"/>
      <c r="AR73" s="43">
        <v>0</v>
      </c>
    </row>
    <row r="74" spans="1:44" ht="15" customHeight="1">
      <c r="E74" s="277"/>
      <c r="F74" s="1208"/>
      <c r="G74" s="94"/>
      <c r="H74" s="94"/>
      <c r="I74" s="94"/>
      <c r="J74" s="94"/>
      <c r="K74" s="94"/>
      <c r="L74" s="94"/>
      <c r="M74" s="94"/>
      <c r="N74" s="94"/>
      <c r="O74" s="94"/>
      <c r="P74" s="94"/>
      <c r="Q74" s="94"/>
      <c r="R74" s="94"/>
      <c r="S74" s="94"/>
      <c r="T74" s="94"/>
      <c r="U74" s="94"/>
      <c r="V74" s="94"/>
      <c r="W74" s="94"/>
      <c r="AR74" s="43">
        <v>0</v>
      </c>
    </row>
    <row r="75" spans="1:44" ht="15" customHeight="1">
      <c r="E75" s="2434" t="s">
        <v>240</v>
      </c>
      <c r="F75" s="2434"/>
      <c r="G75" s="2434"/>
      <c r="H75" s="2434"/>
      <c r="I75" s="2434"/>
      <c r="J75" s="2434"/>
      <c r="K75" s="2434"/>
      <c r="L75" s="2434"/>
      <c r="M75" s="2434"/>
      <c r="N75" s="2434"/>
      <c r="O75" s="2434"/>
      <c r="P75" s="2434"/>
      <c r="Q75" s="2434"/>
      <c r="R75" s="2434"/>
      <c r="S75" s="2434"/>
      <c r="T75" s="2434"/>
      <c r="U75" s="2434"/>
      <c r="V75" s="2434"/>
      <c r="W75" s="2434"/>
      <c r="AR75" s="43">
        <v>0</v>
      </c>
    </row>
    <row r="76" spans="1:44" ht="17.25" customHeight="1">
      <c r="E76" s="2432" t="s">
        <v>241</v>
      </c>
      <c r="F76" s="2432"/>
      <c r="G76" s="2433"/>
      <c r="H76" s="2433"/>
      <c r="I76" s="2433"/>
      <c r="J76" s="2433"/>
      <c r="K76" s="2433"/>
      <c r="L76" s="2433"/>
      <c r="M76" s="2433"/>
      <c r="N76" s="2433"/>
      <c r="O76" s="2433"/>
      <c r="P76" s="2433"/>
      <c r="Q76" s="2433"/>
      <c r="R76" s="2433"/>
      <c r="S76" s="2433"/>
      <c r="T76" s="2433"/>
      <c r="U76" s="2433"/>
      <c r="V76" s="2433"/>
      <c r="W76" s="2433"/>
      <c r="AR76" s="43">
        <v>0</v>
      </c>
    </row>
    <row r="77" spans="1:44" ht="17.25" customHeight="1">
      <c r="E77" s="2432" t="s">
        <v>242</v>
      </c>
      <c r="F77" s="2432"/>
      <c r="G77" s="2433"/>
      <c r="H77" s="2433"/>
      <c r="I77" s="2433"/>
      <c r="J77" s="2433"/>
      <c r="K77" s="2433"/>
      <c r="L77" s="2433"/>
      <c r="M77" s="2433"/>
      <c r="N77" s="2433"/>
      <c r="O77" s="2433"/>
      <c r="P77" s="2433"/>
      <c r="Q77" s="2433"/>
      <c r="R77" s="2433"/>
      <c r="S77" s="2433"/>
      <c r="T77" s="2433"/>
      <c r="U77" s="2433"/>
      <c r="V77" s="2433"/>
      <c r="W77" s="2433"/>
      <c r="AR77" s="43">
        <v>0</v>
      </c>
    </row>
    <row r="78" spans="1:44" s="1770" customFormat="1" ht="11.25" customHeight="1">
      <c r="A78" s="214"/>
      <c r="B78" s="214"/>
      <c r="Y78" s="1182"/>
      <c r="Z78" s="1182"/>
      <c r="AA78" s="1182"/>
      <c r="AB78" s="1182"/>
      <c r="AC78" s="1182"/>
      <c r="AD78" s="1182"/>
      <c r="AE78" s="1182"/>
      <c r="AF78" s="1182"/>
      <c r="AG78" s="1182"/>
      <c r="AH78" s="1182"/>
      <c r="AI78" s="1182"/>
      <c r="AJ78" s="1182"/>
      <c r="AK78" s="1182"/>
      <c r="AL78" s="1182"/>
      <c r="AM78" s="1182"/>
      <c r="AN78" s="1182"/>
      <c r="AO78" s="1182"/>
      <c r="AP78" s="1182"/>
      <c r="AQ78" s="1182"/>
      <c r="AR78" s="1273">
        <v>0</v>
      </c>
    </row>
    <row r="79" spans="1:44" s="1770" customFormat="1" ht="17.25" customHeight="1">
      <c r="A79" s="258"/>
      <c r="C79" s="146"/>
      <c r="D79" s="2396">
        <v>1</v>
      </c>
      <c r="E79" s="2403" t="s">
        <v>243</v>
      </c>
      <c r="F79" s="2405" t="s">
        <v>19</v>
      </c>
      <c r="G79" s="2403"/>
      <c r="H79" s="2408"/>
      <c r="I79" s="2410"/>
      <c r="J79" s="2412"/>
      <c r="K79" s="2397"/>
      <c r="L79" s="2397"/>
      <c r="M79" s="2397"/>
      <c r="N79" s="2399"/>
      <c r="O79" s="2397"/>
      <c r="P79" s="2397"/>
      <c r="Q79" s="2397"/>
      <c r="R79" s="2402"/>
      <c r="S79" s="2397"/>
      <c r="T79" s="1393"/>
      <c r="U79" s="1393"/>
      <c r="V79" s="1395"/>
      <c r="W79" s="1219"/>
      <c r="Y79" s="1190"/>
      <c r="Z79" s="1190"/>
      <c r="AA79" s="1190"/>
      <c r="AB79" s="1190"/>
      <c r="AC79" s="1190" t="s">
        <v>244</v>
      </c>
      <c r="AD79" s="1190" t="s">
        <v>245</v>
      </c>
      <c r="AE79" s="1190" t="s">
        <v>246</v>
      </c>
      <c r="AF79" s="1190" t="s">
        <v>247</v>
      </c>
      <c r="AG79" s="1190"/>
      <c r="AH79" s="1190" t="str">
        <f>IF($E$79=0,"",$E$79)</f>
        <v>Тариф на питьевую воду (питьевое водоснабжение)</v>
      </c>
      <c r="AI79" s="1190" t="str">
        <f>IF($G$79=0,"",$G$79)</f>
        <v/>
      </c>
      <c r="AJ79" s="1190" t="str">
        <f>IF($J$79=0,"",$J$79)</f>
        <v/>
      </c>
      <c r="AK79" s="1190" t="str">
        <f>IF($K$79="нет","без дифференциации",IF($N$79=0,"",$N$79))</f>
        <v/>
      </c>
      <c r="AL79" s="1190" t="str">
        <f>IF($O$79="нет","без дифференциации",IF($R$79=0,"",$R$79))</f>
        <v/>
      </c>
      <c r="AM79" s="1190" t="str">
        <f>IF($S$79="нет","без дифференциации",IF($V$79=0,"",$V$79))</f>
        <v/>
      </c>
      <c r="AN79" s="1190">
        <f>$I$79</f>
        <v>0</v>
      </c>
      <c r="AO79" s="1190" t="str">
        <f>$I$79&amp;"."&amp;$M$79</f>
        <v>.</v>
      </c>
      <c r="AP79" s="1190" t="str">
        <f>$I$79&amp;"."&amp;$M$79&amp;"."&amp;$Q$79</f>
        <v>..</v>
      </c>
      <c r="AQ79" s="1190" t="str">
        <f>$I$79&amp;"."&amp;$M$79&amp;"."&amp;$Q$79&amp;"."&amp;$U$79</f>
        <v>...</v>
      </c>
      <c r="AR79" s="1273">
        <v>0</v>
      </c>
    </row>
    <row r="80" spans="1:44" s="1770" customFormat="1" ht="17.25" customHeight="1">
      <c r="A80" s="258"/>
      <c r="C80" s="257"/>
      <c r="D80" s="2396"/>
      <c r="E80" s="2403"/>
      <c r="F80" s="2406"/>
      <c r="G80" s="2403"/>
      <c r="H80" s="2409"/>
      <c r="I80" s="2411"/>
      <c r="J80" s="2413"/>
      <c r="K80" s="2398"/>
      <c r="L80" s="2398"/>
      <c r="M80" s="2398"/>
      <c r="N80" s="2400"/>
      <c r="O80" s="2398"/>
      <c r="P80" s="2398"/>
      <c r="Q80" s="2398"/>
      <c r="R80" s="2401"/>
      <c r="S80" s="2398"/>
      <c r="T80" s="1220"/>
      <c r="U80" s="1220"/>
      <c r="V80" s="1220"/>
      <c r="W80" s="1221"/>
      <c r="Y80" s="1182"/>
      <c r="Z80" s="1182"/>
      <c r="AA80" s="1182"/>
      <c r="AB80" s="1182"/>
      <c r="AC80" s="1182"/>
      <c r="AD80" s="1182"/>
      <c r="AE80" s="1182"/>
      <c r="AF80" s="1182"/>
      <c r="AG80" s="1182"/>
      <c r="AH80" s="1182"/>
      <c r="AI80" s="1182"/>
      <c r="AJ80" s="1182"/>
      <c r="AK80" s="1182"/>
      <c r="AL80" s="1182"/>
      <c r="AM80" s="1182"/>
      <c r="AN80" s="1182"/>
      <c r="AO80" s="1182"/>
      <c r="AP80" s="1182"/>
      <c r="AQ80" s="1182"/>
      <c r="AR80" s="1273">
        <v>0</v>
      </c>
    </row>
    <row r="81" spans="1:44" s="1770" customFormat="1" ht="17.25" customHeight="1">
      <c r="A81" s="258"/>
      <c r="C81" s="146"/>
      <c r="D81" s="2396"/>
      <c r="E81" s="2403"/>
      <c r="F81" s="2406"/>
      <c r="G81" s="2403"/>
      <c r="H81" s="2409"/>
      <c r="I81" s="2411"/>
      <c r="J81" s="2414"/>
      <c r="K81" s="2398"/>
      <c r="L81" s="2398"/>
      <c r="M81" s="2398"/>
      <c r="N81" s="2401"/>
      <c r="O81" s="2398"/>
      <c r="P81" s="1394"/>
      <c r="Q81" s="1220"/>
      <c r="R81" s="1220"/>
      <c r="S81" s="266"/>
      <c r="T81" s="266"/>
      <c r="U81" s="266"/>
      <c r="V81" s="266"/>
      <c r="W81" s="1221"/>
      <c r="Y81" s="1190"/>
      <c r="Z81" s="1190"/>
      <c r="AA81" s="1190"/>
      <c r="AB81" s="1190"/>
      <c r="AC81" s="1190"/>
      <c r="AD81" s="1190"/>
      <c r="AE81" s="1190"/>
      <c r="AF81" s="1190"/>
      <c r="AG81" s="1190"/>
      <c r="AH81" s="1190"/>
      <c r="AI81" s="1190"/>
      <c r="AJ81" s="1190"/>
      <c r="AK81" s="1190"/>
      <c r="AL81" s="1190"/>
      <c r="AM81" s="1190"/>
      <c r="AN81" s="1190"/>
      <c r="AO81" s="1190"/>
      <c r="AP81" s="1190"/>
      <c r="AQ81" s="1190"/>
      <c r="AR81" s="1364">
        <v>0</v>
      </c>
    </row>
    <row r="82" spans="1:44" s="1770" customFormat="1" ht="17.25" customHeight="1">
      <c r="A82" s="258"/>
      <c r="C82" s="257"/>
      <c r="D82" s="2396"/>
      <c r="E82" s="2403"/>
      <c r="F82" s="2406"/>
      <c r="G82" s="2403"/>
      <c r="H82" s="2409"/>
      <c r="I82" s="2411"/>
      <c r="J82" s="2414"/>
      <c r="K82" s="2398"/>
      <c r="L82" s="1220"/>
      <c r="M82" s="1220"/>
      <c r="N82" s="1220"/>
      <c r="O82" s="1220"/>
      <c r="P82" s="1220"/>
      <c r="Q82" s="1220"/>
      <c r="R82" s="1220"/>
      <c r="S82" s="266"/>
      <c r="T82" s="266"/>
      <c r="U82" s="266"/>
      <c r="V82" s="266"/>
      <c r="W82" s="1221"/>
      <c r="Y82" s="1182"/>
      <c r="Z82" s="1182"/>
      <c r="AA82" s="1182"/>
      <c r="AB82" s="1182"/>
      <c r="AC82" s="1182"/>
      <c r="AD82" s="1182"/>
      <c r="AE82" s="1182"/>
      <c r="AF82" s="1182"/>
      <c r="AG82" s="1182"/>
      <c r="AH82" s="1182"/>
      <c r="AI82" s="1182"/>
      <c r="AJ82" s="1182"/>
      <c r="AK82" s="1182"/>
      <c r="AL82" s="1182"/>
      <c r="AM82" s="1182"/>
      <c r="AN82" s="1182"/>
      <c r="AO82" s="1182"/>
      <c r="AP82" s="1182"/>
      <c r="AQ82" s="1182"/>
      <c r="AR82" s="1364">
        <v>0</v>
      </c>
    </row>
    <row r="83" spans="1:44" s="1770" customFormat="1" ht="17.25" customHeight="1">
      <c r="A83" s="258"/>
      <c r="C83" s="257"/>
      <c r="D83" s="2372"/>
      <c r="E83" s="2404"/>
      <c r="F83" s="2407"/>
      <c r="G83" s="2404"/>
      <c r="H83" s="1222"/>
      <c r="I83" s="1223"/>
      <c r="J83" s="1223"/>
      <c r="K83" s="1223"/>
      <c r="L83" s="1223"/>
      <c r="M83" s="1223"/>
      <c r="N83" s="1223"/>
      <c r="O83" s="1223"/>
      <c r="P83" s="1223"/>
      <c r="Q83" s="1223"/>
      <c r="R83" s="1223"/>
      <c r="S83" s="1224"/>
      <c r="T83" s="1224"/>
      <c r="U83" s="1224"/>
      <c r="V83" s="1224"/>
      <c r="W83" s="1225"/>
      <c r="Y83" s="1182"/>
      <c r="Z83" s="1182"/>
      <c r="AA83" s="1182"/>
      <c r="AB83" s="1182"/>
      <c r="AC83" s="1182"/>
      <c r="AD83" s="1182"/>
      <c r="AE83" s="1182"/>
      <c r="AF83" s="1182"/>
      <c r="AG83" s="1182"/>
      <c r="AH83" s="1182"/>
      <c r="AI83" s="1182"/>
      <c r="AJ83" s="1182"/>
      <c r="AK83" s="1182"/>
      <c r="AL83" s="1182"/>
      <c r="AM83" s="1182"/>
      <c r="AN83" s="1182"/>
      <c r="AO83" s="1182"/>
      <c r="AP83" s="1182"/>
      <c r="AQ83" s="1182"/>
      <c r="AR83" s="1273">
        <v>0</v>
      </c>
    </row>
    <row r="84" spans="1:44" s="1770" customFormat="1" ht="17.25" customHeight="1">
      <c r="A84" s="258"/>
      <c r="C84" s="146"/>
      <c r="D84" s="2396">
        <v>2</v>
      </c>
      <c r="E84" s="2403" t="s">
        <v>248</v>
      </c>
      <c r="F84" s="2405" t="s">
        <v>19</v>
      </c>
      <c r="G84" s="2403"/>
      <c r="H84" s="2408"/>
      <c r="I84" s="2410"/>
      <c r="J84" s="2412"/>
      <c r="K84" s="2397"/>
      <c r="L84" s="2397"/>
      <c r="M84" s="2397"/>
      <c r="N84" s="2399"/>
      <c r="O84" s="2397"/>
      <c r="P84" s="2397"/>
      <c r="Q84" s="2397"/>
      <c r="R84" s="2402"/>
      <c r="S84" s="2397"/>
      <c r="T84" s="1366"/>
      <c r="U84" s="1366"/>
      <c r="V84" s="1368"/>
      <c r="W84" s="1219"/>
      <c r="X84" s="1190"/>
      <c r="Y84" s="1190"/>
      <c r="Z84" s="1190"/>
      <c r="AA84" s="1190"/>
      <c r="AB84" s="1190"/>
      <c r="AC84" s="1190" t="s">
        <v>249</v>
      </c>
      <c r="AD84" s="1190" t="s">
        <v>250</v>
      </c>
      <c r="AE84" s="1190" t="s">
        <v>251</v>
      </c>
      <c r="AF84" s="1190" t="s">
        <v>252</v>
      </c>
      <c r="AG84" s="1190"/>
      <c r="AH84" s="1190" t="str">
        <f>IF($E$84=0,"",$E$84)</f>
        <v>Тариф на техническую воду</v>
      </c>
      <c r="AI84" s="1190" t="str">
        <f>IF($G$84=0,"",$G$84)</f>
        <v/>
      </c>
      <c r="AJ84" s="1190" t="str">
        <f>IF($J$84=0,"",$J$84)</f>
        <v/>
      </c>
      <c r="AK84" s="1190" t="str">
        <f>IF($K$84="нет","без дифференциации",IF($N$84=0,"",$N$84))</f>
        <v/>
      </c>
      <c r="AL84" s="1190" t="str">
        <f>IF($O$84="нет","без дифференциации",IF($R$84=0,"",$R$84))</f>
        <v/>
      </c>
      <c r="AM84" s="1190" t="str">
        <f>IF($S$84="нет","без дифференциации",IF($V$84=0,"",$V$84))</f>
        <v/>
      </c>
      <c r="AN84" s="1693">
        <f>$I$84</f>
        <v>0</v>
      </c>
      <c r="AO84" s="1190" t="str">
        <f>$I$84&amp;"."&amp;$M$84</f>
        <v>.</v>
      </c>
      <c r="AP84" s="1182" t="str">
        <f>$I$84&amp;"."&amp;$M$84&amp;"."&amp;$Q$84</f>
        <v>..</v>
      </c>
      <c r="AQ84" s="1182" t="str">
        <f>$I$84&amp;"."&amp;$M$84&amp;"."&amp;$Q$84&amp;"."&amp;$U$84</f>
        <v>...</v>
      </c>
      <c r="AR84" s="1273">
        <v>0</v>
      </c>
    </row>
    <row r="85" spans="1:44" s="1770" customFormat="1" ht="17.25" customHeight="1">
      <c r="A85" s="258"/>
      <c r="C85" s="257"/>
      <c r="D85" s="2396"/>
      <c r="E85" s="2403"/>
      <c r="F85" s="2406"/>
      <c r="G85" s="2403"/>
      <c r="H85" s="2409"/>
      <c r="I85" s="2411"/>
      <c r="J85" s="2413"/>
      <c r="K85" s="2398"/>
      <c r="L85" s="2398"/>
      <c r="M85" s="2398"/>
      <c r="N85" s="2400"/>
      <c r="O85" s="2398"/>
      <c r="P85" s="2398"/>
      <c r="Q85" s="2398"/>
      <c r="R85" s="2401"/>
      <c r="S85" s="2398"/>
      <c r="T85" s="1220"/>
      <c r="U85" s="1220"/>
      <c r="V85" s="1220"/>
      <c r="W85" s="1221"/>
      <c r="X85" s="1182"/>
      <c r="Y85" s="1182"/>
      <c r="Z85" s="1182"/>
      <c r="AA85" s="1182"/>
      <c r="AB85" s="1182"/>
      <c r="AC85" s="1182"/>
      <c r="AD85" s="1182"/>
      <c r="AE85" s="1182"/>
      <c r="AF85" s="1182"/>
      <c r="AG85" s="1182"/>
      <c r="AH85" s="1182"/>
      <c r="AI85" s="1182"/>
      <c r="AJ85" s="1182"/>
      <c r="AK85" s="1182"/>
      <c r="AL85" s="1182"/>
      <c r="AM85" s="1182"/>
      <c r="AN85" s="1182"/>
      <c r="AO85" s="1182"/>
      <c r="AP85" s="1182"/>
      <c r="AQ85" s="1182"/>
      <c r="AR85" s="1273">
        <v>0</v>
      </c>
    </row>
    <row r="86" spans="1:44" s="1770" customFormat="1" ht="17.25" customHeight="1">
      <c r="A86" s="258"/>
      <c r="C86" s="257"/>
      <c r="D86" s="2372"/>
      <c r="E86" s="2404"/>
      <c r="F86" s="2406"/>
      <c r="G86" s="2404"/>
      <c r="H86" s="2409"/>
      <c r="I86" s="2411"/>
      <c r="J86" s="2414"/>
      <c r="K86" s="2398"/>
      <c r="L86" s="2398"/>
      <c r="M86" s="2398"/>
      <c r="N86" s="2401"/>
      <c r="O86" s="2398"/>
      <c r="P86" s="1367"/>
      <c r="Q86" s="1220"/>
      <c r="R86" s="1220"/>
      <c r="S86" s="266"/>
      <c r="T86" s="266"/>
      <c r="U86" s="266"/>
      <c r="V86" s="266"/>
      <c r="W86" s="1221"/>
      <c r="X86" s="1182"/>
      <c r="Y86" s="1182"/>
      <c r="Z86" s="1182"/>
      <c r="AA86" s="1182"/>
      <c r="AB86" s="1182"/>
      <c r="AC86" s="1182"/>
      <c r="AD86" s="1182"/>
      <c r="AE86" s="1182"/>
      <c r="AF86" s="1182"/>
      <c r="AG86" s="1182"/>
      <c r="AH86" s="1182"/>
      <c r="AI86" s="1182"/>
      <c r="AJ86" s="1182"/>
      <c r="AK86" s="1182"/>
      <c r="AL86" s="1182"/>
      <c r="AM86" s="1182"/>
      <c r="AN86" s="1182"/>
      <c r="AO86" s="1182"/>
      <c r="AP86" s="1182"/>
      <c r="AQ86" s="1182"/>
      <c r="AR86" s="1273">
        <v>0</v>
      </c>
    </row>
    <row r="87" spans="1:44" s="1770" customFormat="1" ht="17.25" customHeight="1">
      <c r="A87" s="258"/>
      <c r="C87" s="257"/>
      <c r="D87" s="2372"/>
      <c r="E87" s="2404"/>
      <c r="F87" s="2406"/>
      <c r="G87" s="2404"/>
      <c r="H87" s="2409"/>
      <c r="I87" s="2411"/>
      <c r="J87" s="2414"/>
      <c r="K87" s="2398"/>
      <c r="L87" s="1220"/>
      <c r="M87" s="1220"/>
      <c r="N87" s="1220"/>
      <c r="O87" s="1220"/>
      <c r="P87" s="1220"/>
      <c r="Q87" s="1220"/>
      <c r="R87" s="1220"/>
      <c r="S87" s="266"/>
      <c r="T87" s="266"/>
      <c r="U87" s="266"/>
      <c r="V87" s="266"/>
      <c r="W87" s="1221"/>
      <c r="X87" s="1182"/>
      <c r="Y87" s="1182"/>
      <c r="Z87" s="1182"/>
      <c r="AA87" s="1182"/>
      <c r="AB87" s="1182"/>
      <c r="AC87" s="1182"/>
      <c r="AD87" s="1182"/>
      <c r="AE87" s="1182"/>
      <c r="AF87" s="1182"/>
      <c r="AG87" s="1182"/>
      <c r="AH87" s="1182"/>
      <c r="AI87" s="1182"/>
      <c r="AJ87" s="1182"/>
      <c r="AK87" s="1182"/>
      <c r="AL87" s="1182"/>
      <c r="AM87" s="1182"/>
      <c r="AN87" s="1182"/>
      <c r="AO87" s="1182"/>
      <c r="AP87" s="1182"/>
      <c r="AQ87" s="1182"/>
      <c r="AR87" s="1273">
        <v>0</v>
      </c>
    </row>
    <row r="88" spans="1:44" s="1770" customFormat="1" ht="17.25" customHeight="1">
      <c r="A88" s="258"/>
      <c r="C88" s="257"/>
      <c r="D88" s="2372"/>
      <c r="E88" s="2404"/>
      <c r="F88" s="2407"/>
      <c r="G88" s="2404"/>
      <c r="H88" s="1222"/>
      <c r="I88" s="1223"/>
      <c r="J88" s="1223"/>
      <c r="K88" s="1223"/>
      <c r="L88" s="1223"/>
      <c r="M88" s="1223"/>
      <c r="N88" s="1223"/>
      <c r="O88" s="1223"/>
      <c r="P88" s="1223"/>
      <c r="Q88" s="1223"/>
      <c r="R88" s="1223"/>
      <c r="S88" s="1224"/>
      <c r="T88" s="1224"/>
      <c r="U88" s="1224"/>
      <c r="V88" s="1224"/>
      <c r="W88" s="1225"/>
      <c r="X88" s="1182"/>
      <c r="Y88" s="1182"/>
      <c r="Z88" s="1182"/>
      <c r="AA88" s="1182"/>
      <c r="AB88" s="1182"/>
      <c r="AC88" s="1182"/>
      <c r="AD88" s="1182"/>
      <c r="AE88" s="1182"/>
      <c r="AF88" s="1182"/>
      <c r="AG88" s="1182"/>
      <c r="AH88" s="1182"/>
      <c r="AI88" s="1182"/>
      <c r="AJ88" s="1182"/>
      <c r="AK88" s="1182"/>
      <c r="AL88" s="1182"/>
      <c r="AM88" s="1182"/>
      <c r="AN88" s="1182"/>
      <c r="AO88" s="1182"/>
      <c r="AP88" s="1182"/>
      <c r="AQ88" s="1182"/>
      <c r="AR88" s="1273">
        <v>0</v>
      </c>
    </row>
    <row r="89" spans="1:44" s="1770" customFormat="1" ht="17.25" customHeight="1">
      <c r="A89" s="258"/>
      <c r="C89" s="146"/>
      <c r="D89" s="2396">
        <v>3</v>
      </c>
      <c r="E89" s="2403" t="s">
        <v>253</v>
      </c>
      <c r="F89" s="2405" t="s">
        <v>19</v>
      </c>
      <c r="G89" s="2403"/>
      <c r="H89" s="2408"/>
      <c r="I89" s="2410"/>
      <c r="J89" s="2412"/>
      <c r="K89" s="2397"/>
      <c r="L89" s="2397"/>
      <c r="M89" s="2397"/>
      <c r="N89" s="2399"/>
      <c r="O89" s="2397"/>
      <c r="P89" s="2397"/>
      <c r="Q89" s="2397"/>
      <c r="R89" s="2402"/>
      <c r="S89" s="2397"/>
      <c r="T89" s="1366"/>
      <c r="U89" s="1366"/>
      <c r="V89" s="1368"/>
      <c r="W89" s="1219"/>
      <c r="X89" s="1190"/>
      <c r="Y89" s="1190"/>
      <c r="Z89" s="1190"/>
      <c r="AA89" s="1190"/>
      <c r="AB89" s="1190"/>
      <c r="AC89" s="1190" t="s">
        <v>254</v>
      </c>
      <c r="AD89" s="1190" t="s">
        <v>255</v>
      </c>
      <c r="AE89" s="1190" t="s">
        <v>256</v>
      </c>
      <c r="AF89" s="1190" t="s">
        <v>257</v>
      </c>
      <c r="AG89" s="1190"/>
      <c r="AH89" s="1190" t="str">
        <f>IF($E$89=0,"",$E$89)</f>
        <v>Тариф на транспортировку воды</v>
      </c>
      <c r="AI89" s="1190" t="str">
        <f>IF($G$89=0,"",$G$89)</f>
        <v/>
      </c>
      <c r="AJ89" s="1190" t="str">
        <f>IF($J$89=0,"",$J$89)</f>
        <v/>
      </c>
      <c r="AK89" s="1190" t="str">
        <f>IF($K$89="нет","без дифференциации",IF($N$89=0,"",$N$89))</f>
        <v/>
      </c>
      <c r="AL89" s="1190" t="str">
        <f>IF($O$89="нет","без дифференциации",IF($R$89=0,"",$R$89))</f>
        <v/>
      </c>
      <c r="AM89" s="1190" t="str">
        <f>IF($S$89="нет","без дифференциации",IF($V$89=0,"",$V$89))</f>
        <v/>
      </c>
      <c r="AN89" s="1693">
        <f>$I$89</f>
        <v>0</v>
      </c>
      <c r="AO89" s="1190" t="str">
        <f>$I$89&amp;"."&amp;$M$89</f>
        <v>.</v>
      </c>
      <c r="AP89" s="1182" t="str">
        <f>$I$89&amp;"."&amp;$M$89&amp;"."&amp;$Q$89</f>
        <v>..</v>
      </c>
      <c r="AQ89" s="1182" t="str">
        <f>$I$89&amp;"."&amp;$M$89&amp;"."&amp;$Q$89&amp;"."&amp;$U$89</f>
        <v>...</v>
      </c>
      <c r="AR89" s="1273">
        <v>0</v>
      </c>
    </row>
    <row r="90" spans="1:44" s="1770" customFormat="1" ht="17.25" customHeight="1">
      <c r="A90" s="258"/>
      <c r="C90" s="257"/>
      <c r="D90" s="2396"/>
      <c r="E90" s="2403"/>
      <c r="F90" s="2406"/>
      <c r="G90" s="2403"/>
      <c r="H90" s="2409"/>
      <c r="I90" s="2411"/>
      <c r="J90" s="2413"/>
      <c r="K90" s="2398"/>
      <c r="L90" s="2398"/>
      <c r="M90" s="2398"/>
      <c r="N90" s="2400"/>
      <c r="O90" s="2398"/>
      <c r="P90" s="2398"/>
      <c r="Q90" s="2398"/>
      <c r="R90" s="2401"/>
      <c r="S90" s="2398"/>
      <c r="T90" s="1220"/>
      <c r="U90" s="1220"/>
      <c r="V90" s="1220"/>
      <c r="W90" s="1221"/>
      <c r="X90" s="1182"/>
      <c r="Y90" s="1182"/>
      <c r="Z90" s="1182"/>
      <c r="AA90" s="1182"/>
      <c r="AB90" s="1182"/>
      <c r="AC90" s="1182"/>
      <c r="AD90" s="1182"/>
      <c r="AE90" s="1182"/>
      <c r="AF90" s="1182"/>
      <c r="AG90" s="1182"/>
      <c r="AH90" s="1182"/>
      <c r="AI90" s="1182"/>
      <c r="AJ90" s="1182"/>
      <c r="AK90" s="1182"/>
      <c r="AL90" s="1182"/>
      <c r="AM90" s="1182"/>
      <c r="AN90" s="1182"/>
      <c r="AO90" s="1182"/>
      <c r="AP90" s="1182"/>
      <c r="AQ90" s="1182"/>
      <c r="AR90" s="1273">
        <v>0</v>
      </c>
    </row>
    <row r="91" spans="1:44" s="1770" customFormat="1" ht="17.25" customHeight="1">
      <c r="A91" s="258"/>
      <c r="C91" s="257"/>
      <c r="D91" s="2372"/>
      <c r="E91" s="2404"/>
      <c r="F91" s="2406"/>
      <c r="G91" s="2404"/>
      <c r="H91" s="2409"/>
      <c r="I91" s="2411"/>
      <c r="J91" s="2414"/>
      <c r="K91" s="2398"/>
      <c r="L91" s="2398"/>
      <c r="M91" s="2398"/>
      <c r="N91" s="2401"/>
      <c r="O91" s="2398"/>
      <c r="P91" s="1367"/>
      <c r="Q91" s="1220"/>
      <c r="R91" s="1220"/>
      <c r="S91" s="266"/>
      <c r="T91" s="266"/>
      <c r="U91" s="266"/>
      <c r="V91" s="266"/>
      <c r="W91" s="1221"/>
      <c r="X91" s="1182"/>
      <c r="Y91" s="1182"/>
      <c r="Z91" s="1182"/>
      <c r="AA91" s="1182"/>
      <c r="AB91" s="1182"/>
      <c r="AC91" s="1182"/>
      <c r="AD91" s="1182"/>
      <c r="AE91" s="1182"/>
      <c r="AF91" s="1182"/>
      <c r="AG91" s="1182"/>
      <c r="AH91" s="1182"/>
      <c r="AI91" s="1182"/>
      <c r="AJ91" s="1182"/>
      <c r="AK91" s="1182"/>
      <c r="AL91" s="1182"/>
      <c r="AM91" s="1182"/>
      <c r="AN91" s="1182"/>
      <c r="AO91" s="1182"/>
      <c r="AP91" s="1182"/>
      <c r="AQ91" s="1182"/>
      <c r="AR91" s="1273">
        <v>0</v>
      </c>
    </row>
    <row r="92" spans="1:44" s="1770" customFormat="1" ht="17.25" customHeight="1">
      <c r="A92" s="258"/>
      <c r="C92" s="257"/>
      <c r="D92" s="2372"/>
      <c r="E92" s="2404"/>
      <c r="F92" s="2406"/>
      <c r="G92" s="2404"/>
      <c r="H92" s="2409"/>
      <c r="I92" s="2411"/>
      <c r="J92" s="2414"/>
      <c r="K92" s="2398"/>
      <c r="L92" s="1220"/>
      <c r="M92" s="1220"/>
      <c r="N92" s="1220"/>
      <c r="O92" s="1220"/>
      <c r="P92" s="1220"/>
      <c r="Q92" s="1220"/>
      <c r="R92" s="1220"/>
      <c r="S92" s="266"/>
      <c r="T92" s="266"/>
      <c r="U92" s="266"/>
      <c r="V92" s="266"/>
      <c r="W92" s="1221"/>
      <c r="X92" s="1182"/>
      <c r="Y92" s="1182"/>
      <c r="Z92" s="1182"/>
      <c r="AA92" s="1182"/>
      <c r="AB92" s="1182"/>
      <c r="AC92" s="1182"/>
      <c r="AD92" s="1182"/>
      <c r="AE92" s="1182"/>
      <c r="AF92" s="1182"/>
      <c r="AG92" s="1182"/>
      <c r="AH92" s="1182"/>
      <c r="AI92" s="1182"/>
      <c r="AJ92" s="1182"/>
      <c r="AK92" s="1182"/>
      <c r="AL92" s="1182"/>
      <c r="AM92" s="1182"/>
      <c r="AN92" s="1182"/>
      <c r="AO92" s="1182"/>
      <c r="AP92" s="1182"/>
      <c r="AQ92" s="1182"/>
      <c r="AR92" s="1273">
        <v>0</v>
      </c>
    </row>
    <row r="93" spans="1:44" s="1770" customFormat="1" ht="17.25" customHeight="1">
      <c r="A93" s="258"/>
      <c r="C93" s="257"/>
      <c r="D93" s="2372"/>
      <c r="E93" s="2404"/>
      <c r="F93" s="2407"/>
      <c r="G93" s="2404"/>
      <c r="H93" s="1222"/>
      <c r="I93" s="1223"/>
      <c r="J93" s="1223"/>
      <c r="K93" s="1223"/>
      <c r="L93" s="1223"/>
      <c r="M93" s="1223"/>
      <c r="N93" s="1223"/>
      <c r="O93" s="1223"/>
      <c r="P93" s="1223"/>
      <c r="Q93" s="1223"/>
      <c r="R93" s="1223"/>
      <c r="S93" s="1224"/>
      <c r="T93" s="1224"/>
      <c r="U93" s="1224"/>
      <c r="V93" s="1224"/>
      <c r="W93" s="1225"/>
      <c r="X93" s="1182"/>
      <c r="Y93" s="1182"/>
      <c r="Z93" s="1182"/>
      <c r="AA93" s="1182"/>
      <c r="AB93" s="1182"/>
      <c r="AC93" s="1182"/>
      <c r="AD93" s="1182"/>
      <c r="AE93" s="1182"/>
      <c r="AF93" s="1182"/>
      <c r="AG93" s="1182"/>
      <c r="AH93" s="1182"/>
      <c r="AI93" s="1182"/>
      <c r="AJ93" s="1182"/>
      <c r="AK93" s="1182"/>
      <c r="AL93" s="1182"/>
      <c r="AM93" s="1182"/>
      <c r="AN93" s="1182"/>
      <c r="AO93" s="1182"/>
      <c r="AP93" s="1182"/>
      <c r="AQ93" s="1182"/>
      <c r="AR93" s="1273">
        <v>0</v>
      </c>
    </row>
    <row r="94" spans="1:44" s="1770" customFormat="1" ht="17.25" customHeight="1">
      <c r="A94" s="258"/>
      <c r="C94" s="146"/>
      <c r="D94" s="2396">
        <v>4</v>
      </c>
      <c r="E94" s="2403" t="s">
        <v>258</v>
      </c>
      <c r="F94" s="2405" t="s">
        <v>19</v>
      </c>
      <c r="G94" s="2403"/>
      <c r="H94" s="2408"/>
      <c r="I94" s="2410"/>
      <c r="J94" s="2412"/>
      <c r="K94" s="2397"/>
      <c r="L94" s="2397"/>
      <c r="M94" s="2397"/>
      <c r="N94" s="2399"/>
      <c r="O94" s="2397"/>
      <c r="P94" s="2397"/>
      <c r="Q94" s="2397"/>
      <c r="R94" s="2402"/>
      <c r="S94" s="2397"/>
      <c r="T94" s="1366"/>
      <c r="U94" s="1366"/>
      <c r="V94" s="1368"/>
      <c r="W94" s="1219"/>
      <c r="X94" s="1190"/>
      <c r="Y94" s="1190"/>
      <c r="Z94" s="1190"/>
      <c r="AA94" s="1190"/>
      <c r="AB94" s="1190"/>
      <c r="AC94" s="1190" t="s">
        <v>259</v>
      </c>
      <c r="AD94" s="1190" t="s">
        <v>260</v>
      </c>
      <c r="AE94" s="1190" t="s">
        <v>261</v>
      </c>
      <c r="AF94" s="1190" t="s">
        <v>262</v>
      </c>
      <c r="AG94" s="1190"/>
      <c r="AH94" s="1190" t="str">
        <f>IF($E$94=0,"",$E$94)</f>
        <v>Тариф на подвоз воды</v>
      </c>
      <c r="AI94" s="1190" t="str">
        <f>IF($G$94=0,"",$G$94)</f>
        <v/>
      </c>
      <c r="AJ94" s="1190" t="str">
        <f>IF($J$94=0,"",$J$94)</f>
        <v/>
      </c>
      <c r="AK94" s="1190" t="str">
        <f>IF($K$94="нет","без дифференциации",IF($N$94=0,"",$N$94))</f>
        <v/>
      </c>
      <c r="AL94" s="1190" t="str">
        <f>IF($O$94="нет","без дифференциации",IF($R$94=0,"",$R$94))</f>
        <v/>
      </c>
      <c r="AM94" s="1190" t="str">
        <f>IF($S$94="нет","без дифференциации",IF($V$94=0,"",$V$94))</f>
        <v/>
      </c>
      <c r="AN94" s="1693">
        <f>$I$94</f>
        <v>0</v>
      </c>
      <c r="AO94" s="1190" t="str">
        <f>$I$94&amp;"."&amp;$M$94</f>
        <v>.</v>
      </c>
      <c r="AP94" s="1182" t="str">
        <f>$I$94&amp;"."&amp;$M$94&amp;"."&amp;$Q$94</f>
        <v>..</v>
      </c>
      <c r="AQ94" s="1182" t="str">
        <f>$I$94&amp;"."&amp;$M$94&amp;"."&amp;$Q$94&amp;"."&amp;$U$94</f>
        <v>...</v>
      </c>
      <c r="AR94" s="1273">
        <v>0</v>
      </c>
    </row>
    <row r="95" spans="1:44" s="1770" customFormat="1" ht="17.25" customHeight="1">
      <c r="A95" s="258"/>
      <c r="C95" s="257"/>
      <c r="D95" s="2396"/>
      <c r="E95" s="2403"/>
      <c r="F95" s="2406"/>
      <c r="G95" s="2403"/>
      <c r="H95" s="2409"/>
      <c r="I95" s="2411"/>
      <c r="J95" s="2413"/>
      <c r="K95" s="2398"/>
      <c r="L95" s="2398"/>
      <c r="M95" s="2398"/>
      <c r="N95" s="2400"/>
      <c r="O95" s="2398"/>
      <c r="P95" s="2398"/>
      <c r="Q95" s="2398"/>
      <c r="R95" s="2401"/>
      <c r="S95" s="2398"/>
      <c r="T95" s="1220"/>
      <c r="U95" s="1220"/>
      <c r="V95" s="1220"/>
      <c r="W95" s="1221"/>
      <c r="X95" s="1182"/>
      <c r="Y95" s="1182"/>
      <c r="Z95" s="1182"/>
      <c r="AA95" s="1182"/>
      <c r="AB95" s="1182"/>
      <c r="AC95" s="1182"/>
      <c r="AD95" s="1182"/>
      <c r="AE95" s="1182"/>
      <c r="AF95" s="1182"/>
      <c r="AG95" s="1182"/>
      <c r="AH95" s="1182"/>
      <c r="AI95" s="1182"/>
      <c r="AJ95" s="1182"/>
      <c r="AK95" s="1182"/>
      <c r="AL95" s="1182"/>
      <c r="AM95" s="1182"/>
      <c r="AN95" s="1182"/>
      <c r="AO95" s="1182"/>
      <c r="AP95" s="1182"/>
      <c r="AQ95" s="1182"/>
      <c r="AR95" s="1273">
        <v>0</v>
      </c>
    </row>
    <row r="96" spans="1:44" s="1770" customFormat="1" ht="17.25" customHeight="1">
      <c r="A96" s="258"/>
      <c r="C96" s="257"/>
      <c r="D96" s="2372"/>
      <c r="E96" s="2404"/>
      <c r="F96" s="2406"/>
      <c r="G96" s="2404"/>
      <c r="H96" s="2409"/>
      <c r="I96" s="2411"/>
      <c r="J96" s="2414"/>
      <c r="K96" s="2398"/>
      <c r="L96" s="2398"/>
      <c r="M96" s="2398"/>
      <c r="N96" s="2401"/>
      <c r="O96" s="2398"/>
      <c r="P96" s="1367"/>
      <c r="Q96" s="1220"/>
      <c r="R96" s="1220"/>
      <c r="S96" s="266"/>
      <c r="T96" s="266"/>
      <c r="U96" s="266"/>
      <c r="V96" s="266"/>
      <c r="W96" s="1221"/>
      <c r="X96" s="1182"/>
      <c r="Y96" s="1182"/>
      <c r="Z96" s="1182"/>
      <c r="AA96" s="1182"/>
      <c r="AB96" s="1182"/>
      <c r="AC96" s="1182"/>
      <c r="AD96" s="1182"/>
      <c r="AE96" s="1182"/>
      <c r="AF96" s="1182"/>
      <c r="AG96" s="1182"/>
      <c r="AH96" s="1182"/>
      <c r="AI96" s="1182"/>
      <c r="AJ96" s="1182"/>
      <c r="AK96" s="1182"/>
      <c r="AL96" s="1182"/>
      <c r="AM96" s="1182"/>
      <c r="AN96" s="1182"/>
      <c r="AO96" s="1182"/>
      <c r="AP96" s="1182"/>
      <c r="AQ96" s="1182"/>
      <c r="AR96" s="1273">
        <v>0</v>
      </c>
    </row>
    <row r="97" spans="1:44" s="1770" customFormat="1" ht="17.25" customHeight="1">
      <c r="A97" s="258"/>
      <c r="C97" s="257"/>
      <c r="D97" s="2372"/>
      <c r="E97" s="2404"/>
      <c r="F97" s="2406"/>
      <c r="G97" s="2404"/>
      <c r="H97" s="2409"/>
      <c r="I97" s="2411"/>
      <c r="J97" s="2414"/>
      <c r="K97" s="2398"/>
      <c r="L97" s="1220"/>
      <c r="M97" s="1220"/>
      <c r="N97" s="1220"/>
      <c r="O97" s="1220"/>
      <c r="P97" s="1220"/>
      <c r="Q97" s="1220"/>
      <c r="R97" s="1220"/>
      <c r="S97" s="266"/>
      <c r="T97" s="266"/>
      <c r="U97" s="266"/>
      <c r="V97" s="266"/>
      <c r="W97" s="1221"/>
      <c r="X97" s="1182"/>
      <c r="Y97" s="1182"/>
      <c r="Z97" s="1182"/>
      <c r="AA97" s="1182"/>
      <c r="AB97" s="1182"/>
      <c r="AC97" s="1182"/>
      <c r="AD97" s="1182"/>
      <c r="AE97" s="1182"/>
      <c r="AF97" s="1182"/>
      <c r="AG97" s="1182"/>
      <c r="AH97" s="1182"/>
      <c r="AI97" s="1182"/>
      <c r="AJ97" s="1182"/>
      <c r="AK97" s="1182"/>
      <c r="AL97" s="1182"/>
      <c r="AM97" s="1182"/>
      <c r="AN97" s="1182"/>
      <c r="AO97" s="1182"/>
      <c r="AP97" s="1182"/>
      <c r="AQ97" s="1182"/>
      <c r="AR97" s="1273">
        <v>0</v>
      </c>
    </row>
    <row r="98" spans="1:44" s="1770" customFormat="1" ht="17.25" customHeight="1">
      <c r="A98" s="258"/>
      <c r="C98" s="257"/>
      <c r="D98" s="2372"/>
      <c r="E98" s="2404"/>
      <c r="F98" s="2407"/>
      <c r="G98" s="2404"/>
      <c r="H98" s="1222"/>
      <c r="I98" s="1223"/>
      <c r="J98" s="1223"/>
      <c r="K98" s="1223"/>
      <c r="L98" s="1223"/>
      <c r="M98" s="1223"/>
      <c r="N98" s="1223"/>
      <c r="O98" s="1223"/>
      <c r="P98" s="1223"/>
      <c r="Q98" s="1223"/>
      <c r="R98" s="1223"/>
      <c r="S98" s="1224"/>
      <c r="T98" s="1224"/>
      <c r="U98" s="1224"/>
      <c r="V98" s="1224"/>
      <c r="W98" s="1225"/>
      <c r="X98" s="1182"/>
      <c r="Y98" s="1182"/>
      <c r="Z98" s="1182"/>
      <c r="AA98" s="1182"/>
      <c r="AB98" s="1182"/>
      <c r="AC98" s="1182"/>
      <c r="AD98" s="1182"/>
      <c r="AE98" s="1182"/>
      <c r="AF98" s="1182"/>
      <c r="AG98" s="1182"/>
      <c r="AH98" s="1182"/>
      <c r="AI98" s="1182"/>
      <c r="AJ98" s="1182"/>
      <c r="AK98" s="1182"/>
      <c r="AL98" s="1182"/>
      <c r="AM98" s="1182"/>
      <c r="AN98" s="1182"/>
      <c r="AO98" s="1182"/>
      <c r="AP98" s="1182"/>
      <c r="AQ98" s="1182"/>
      <c r="AR98" s="1273">
        <v>0</v>
      </c>
    </row>
    <row r="99" spans="1:44" s="1770" customFormat="1" ht="17.25" customHeight="1">
      <c r="A99" s="258"/>
      <c r="C99" s="146"/>
      <c r="D99" s="2396">
        <v>5</v>
      </c>
      <c r="E99" s="2403" t="s">
        <v>263</v>
      </c>
      <c r="F99" s="2405" t="s">
        <v>19</v>
      </c>
      <c r="G99" s="2403"/>
      <c r="H99" s="2408"/>
      <c r="I99" s="2410"/>
      <c r="J99" s="2412"/>
      <c r="K99" s="2397"/>
      <c r="L99" s="2397"/>
      <c r="M99" s="2397"/>
      <c r="N99" s="2399"/>
      <c r="O99" s="2397"/>
      <c r="P99" s="2397"/>
      <c r="Q99" s="2397"/>
      <c r="R99" s="2402"/>
      <c r="S99" s="2397"/>
      <c r="T99" s="1857"/>
      <c r="U99" s="1857"/>
      <c r="V99" s="1859"/>
      <c r="W99" s="1219"/>
      <c r="X99" s="1190"/>
      <c r="Y99" s="1190"/>
      <c r="Z99" s="1190"/>
      <c r="AA99" s="1190"/>
      <c r="AB99" s="1190"/>
      <c r="AC99" s="1190" t="s">
        <v>264</v>
      </c>
      <c r="AD99" s="1190" t="s">
        <v>265</v>
      </c>
      <c r="AE99" s="1190" t="s">
        <v>266</v>
      </c>
      <c r="AF99" s="1190" t="s">
        <v>267</v>
      </c>
      <c r="AG99" s="1190"/>
      <c r="AH99" s="1190" t="str">
        <f>IF($E$99=0,"",$E$99)</f>
        <v>Тариф на подключение (технологическое присоединение) к централизованной системе холодного водоснабжения</v>
      </c>
      <c r="AI99" s="1190" t="str">
        <f>IF($G$99=0,"",$G$99)</f>
        <v/>
      </c>
      <c r="AJ99" s="1190" t="str">
        <f>IF($J$99=0,"",$J$99)</f>
        <v/>
      </c>
      <c r="AK99" s="1190" t="str">
        <f>IF($K$99="нет","без дифференциации",IF($N$99=0,"",$N$99))</f>
        <v/>
      </c>
      <c r="AL99" s="1190" t="str">
        <f>IF($O$99="нет","без дифференциации",IF($R$99=0,"",$R$99))</f>
        <v/>
      </c>
      <c r="AM99" s="1190" t="str">
        <f>IF($S$99="нет","без дифференциации",IF($V$99=0,"",$V$99))</f>
        <v/>
      </c>
      <c r="AN99" s="1693">
        <f>$I$99</f>
        <v>0</v>
      </c>
      <c r="AO99" s="1190" t="str">
        <f>$I$99&amp;"."&amp;$M$99</f>
        <v>.</v>
      </c>
      <c r="AP99" s="1189" t="str">
        <f>$I$99&amp;"."&amp;$M$99&amp;"."&amp;$Q$99</f>
        <v>..</v>
      </c>
      <c r="AQ99" s="1189" t="str">
        <f>$I$99&amp;"."&amp;$M$99&amp;"."&amp;$Q$99&amp;"."&amp;$U$99</f>
        <v>...</v>
      </c>
      <c r="AR99" s="1390">
        <v>0</v>
      </c>
    </row>
    <row r="100" spans="1:44" s="1770" customFormat="1" ht="17.25" customHeight="1">
      <c r="A100" s="258"/>
      <c r="C100" s="257"/>
      <c r="D100" s="2396"/>
      <c r="E100" s="2403"/>
      <c r="F100" s="2406"/>
      <c r="G100" s="2403"/>
      <c r="H100" s="2409"/>
      <c r="I100" s="2411"/>
      <c r="J100" s="2413"/>
      <c r="K100" s="2398"/>
      <c r="L100" s="2398"/>
      <c r="M100" s="2398"/>
      <c r="N100" s="2400"/>
      <c r="O100" s="2398"/>
      <c r="P100" s="2398"/>
      <c r="Q100" s="2398"/>
      <c r="R100" s="2401"/>
      <c r="S100" s="2398"/>
      <c r="T100" s="1862"/>
      <c r="U100" s="1862"/>
      <c r="V100" s="1862"/>
      <c r="W100" s="1863"/>
      <c r="X100" s="1189"/>
      <c r="Y100" s="1189"/>
      <c r="Z100" s="1189"/>
      <c r="AA100" s="1189"/>
      <c r="AB100" s="1189"/>
      <c r="AC100" s="1189"/>
      <c r="AD100" s="1189"/>
      <c r="AE100" s="1189"/>
      <c r="AF100" s="1189"/>
      <c r="AG100" s="1189"/>
      <c r="AH100" s="1189"/>
      <c r="AI100" s="1189"/>
      <c r="AJ100" s="1189"/>
      <c r="AK100" s="1189"/>
      <c r="AL100" s="1189"/>
      <c r="AM100" s="1189"/>
      <c r="AN100" s="1189"/>
      <c r="AO100" s="1189"/>
      <c r="AP100" s="1189"/>
      <c r="AQ100" s="1189"/>
      <c r="AR100" s="1390">
        <v>0</v>
      </c>
    </row>
    <row r="101" spans="1:44" s="1770" customFormat="1" ht="17.25" customHeight="1">
      <c r="A101" s="258"/>
      <c r="C101" s="257"/>
      <c r="D101" s="2372"/>
      <c r="E101" s="2404"/>
      <c r="F101" s="2406"/>
      <c r="G101" s="2404"/>
      <c r="H101" s="2409"/>
      <c r="I101" s="2411"/>
      <c r="J101" s="2414"/>
      <c r="K101" s="2398"/>
      <c r="L101" s="2398"/>
      <c r="M101" s="2398"/>
      <c r="N101" s="2401"/>
      <c r="O101" s="2398"/>
      <c r="P101" s="1858"/>
      <c r="Q101" s="1862"/>
      <c r="R101" s="1862"/>
      <c r="S101" s="266"/>
      <c r="T101" s="266"/>
      <c r="U101" s="266"/>
      <c r="V101" s="266"/>
      <c r="W101" s="1863"/>
      <c r="X101" s="1189"/>
      <c r="Y101" s="1189"/>
      <c r="Z101" s="1189"/>
      <c r="AA101" s="1189"/>
      <c r="AB101" s="1189"/>
      <c r="AC101" s="1189"/>
      <c r="AD101" s="1189"/>
      <c r="AE101" s="1189"/>
      <c r="AF101" s="1189"/>
      <c r="AG101" s="1189"/>
      <c r="AH101" s="1189"/>
      <c r="AI101" s="1189"/>
      <c r="AJ101" s="1189"/>
      <c r="AK101" s="1189"/>
      <c r="AL101" s="1189"/>
      <c r="AM101" s="1189"/>
      <c r="AN101" s="1189"/>
      <c r="AO101" s="1189"/>
      <c r="AP101" s="1189"/>
      <c r="AQ101" s="1189"/>
      <c r="AR101" s="1390">
        <v>0</v>
      </c>
    </row>
    <row r="102" spans="1:44" s="1770" customFormat="1" ht="17.25" customHeight="1">
      <c r="A102" s="258"/>
      <c r="C102" s="257"/>
      <c r="D102" s="2372"/>
      <c r="E102" s="2404"/>
      <c r="F102" s="2406"/>
      <c r="G102" s="2404"/>
      <c r="H102" s="2409"/>
      <c r="I102" s="2411"/>
      <c r="J102" s="2414"/>
      <c r="K102" s="2398"/>
      <c r="L102" s="1862"/>
      <c r="M102" s="1862"/>
      <c r="N102" s="1862"/>
      <c r="O102" s="1862"/>
      <c r="P102" s="1862"/>
      <c r="Q102" s="1862"/>
      <c r="R102" s="1862"/>
      <c r="S102" s="266"/>
      <c r="T102" s="266"/>
      <c r="U102" s="266"/>
      <c r="V102" s="266"/>
      <c r="W102" s="1863"/>
      <c r="X102" s="1189"/>
      <c r="Y102" s="1189"/>
      <c r="Z102" s="1189"/>
      <c r="AA102" s="1189"/>
      <c r="AB102" s="1189"/>
      <c r="AC102" s="1189"/>
      <c r="AD102" s="1189"/>
      <c r="AE102" s="1189"/>
      <c r="AF102" s="1189"/>
      <c r="AG102" s="1189"/>
      <c r="AH102" s="1189"/>
      <c r="AI102" s="1189"/>
      <c r="AJ102" s="1189"/>
      <c r="AK102" s="1189"/>
      <c r="AL102" s="1189"/>
      <c r="AM102" s="1189"/>
      <c r="AN102" s="1189"/>
      <c r="AO102" s="1189"/>
      <c r="AP102" s="1189"/>
      <c r="AQ102" s="1189"/>
      <c r="AR102" s="1390">
        <v>0</v>
      </c>
    </row>
    <row r="103" spans="1:44" s="1770" customFormat="1" ht="17.25" customHeight="1">
      <c r="A103" s="258"/>
      <c r="C103" s="257"/>
      <c r="D103" s="2372"/>
      <c r="E103" s="2404"/>
      <c r="F103" s="2407"/>
      <c r="G103" s="2404"/>
      <c r="H103" s="1222"/>
      <c r="I103" s="1860"/>
      <c r="J103" s="1860"/>
      <c r="K103" s="1860"/>
      <c r="L103" s="1860"/>
      <c r="M103" s="1860"/>
      <c r="N103" s="1860"/>
      <c r="O103" s="1860"/>
      <c r="P103" s="1860"/>
      <c r="Q103" s="1860"/>
      <c r="R103" s="1860"/>
      <c r="S103" s="1224"/>
      <c r="T103" s="1224"/>
      <c r="U103" s="1224"/>
      <c r="V103" s="1224"/>
      <c r="W103" s="1861"/>
      <c r="X103" s="1189"/>
      <c r="Y103" s="1189"/>
      <c r="Z103" s="1189"/>
      <c r="AA103" s="1189"/>
      <c r="AB103" s="1189"/>
      <c r="AC103" s="1189"/>
      <c r="AD103" s="1189"/>
      <c r="AE103" s="1189"/>
      <c r="AF103" s="1189"/>
      <c r="AG103" s="1189"/>
      <c r="AH103" s="1189"/>
      <c r="AI103" s="1189"/>
      <c r="AJ103" s="1189"/>
      <c r="AK103" s="1189"/>
      <c r="AL103" s="1189"/>
      <c r="AM103" s="1189"/>
      <c r="AN103" s="1189"/>
      <c r="AO103" s="1189"/>
      <c r="AP103" s="1189"/>
      <c r="AQ103" s="1189"/>
      <c r="AR103" s="1390">
        <v>0</v>
      </c>
    </row>
    <row r="104" spans="1:44" s="1770" customFormat="1" ht="11.25" customHeight="1">
      <c r="A104" s="214"/>
      <c r="B104" s="214"/>
      <c r="Y104" s="1182"/>
      <c r="Z104" s="1182"/>
      <c r="AA104" s="1182"/>
      <c r="AB104" s="1182"/>
      <c r="AC104" s="1182"/>
      <c r="AD104" s="1182"/>
      <c r="AE104" s="1182"/>
      <c r="AF104" s="1182"/>
      <c r="AG104" s="1182"/>
      <c r="AH104" s="1182"/>
      <c r="AI104" s="1182"/>
      <c r="AJ104" s="1182"/>
      <c r="AK104" s="1182"/>
      <c r="AL104" s="1182"/>
      <c r="AM104" s="1182"/>
      <c r="AN104" s="1182"/>
      <c r="AO104" s="1182"/>
      <c r="AP104" s="1182"/>
      <c r="AQ104" s="1182"/>
      <c r="AR104" s="1390">
        <v>0</v>
      </c>
    </row>
    <row r="105" spans="1:44" s="1770" customFormat="1" ht="17.25" customHeight="1">
      <c r="A105" s="258"/>
      <c r="C105" s="146"/>
      <c r="D105" s="2396">
        <v>1</v>
      </c>
      <c r="E105" s="2403" t="s">
        <v>268</v>
      </c>
      <c r="F105" s="2405" t="s">
        <v>19</v>
      </c>
      <c r="G105" s="2403"/>
      <c r="H105" s="2408"/>
      <c r="I105" s="2410"/>
      <c r="J105" s="2412"/>
      <c r="K105" s="2397"/>
      <c r="L105" s="2397"/>
      <c r="M105" s="2397"/>
      <c r="N105" s="2399"/>
      <c r="O105" s="2397"/>
      <c r="P105" s="2397"/>
      <c r="Q105" s="2397"/>
      <c r="R105" s="2402"/>
      <c r="S105" s="2397"/>
      <c r="T105" s="1393"/>
      <c r="U105" s="1393"/>
      <c r="V105" s="1395"/>
      <c r="W105" s="1219"/>
      <c r="Y105" s="1190"/>
      <c r="Z105" s="1190"/>
      <c r="AA105" s="1190"/>
      <c r="AB105" s="1190"/>
      <c r="AC105" s="1190" t="s">
        <v>269</v>
      </c>
      <c r="AD105" s="1190" t="s">
        <v>270</v>
      </c>
      <c r="AE105" s="1190" t="s">
        <v>271</v>
      </c>
      <c r="AF105" s="1190" t="s">
        <v>272</v>
      </c>
      <c r="AG105" s="1190"/>
      <c r="AH105" s="1190" t="str">
        <f>IF($E$105=0,"",$E$105)</f>
        <v>Тариф на горячую воду (горячее водоснабжение)</v>
      </c>
      <c r="AI105" s="1190" t="str">
        <f>IF($G$105=0,"",$G$105)</f>
        <v/>
      </c>
      <c r="AJ105" s="1190" t="str">
        <f>IF($J$105=0,"",$J$105)</f>
        <v/>
      </c>
      <c r="AK105" s="1190" t="str">
        <f>IF($K$105="нет","без дифференциации",IF($N$105=0,"",$N$105))</f>
        <v/>
      </c>
      <c r="AL105" s="1190" t="str">
        <f>IF($O$105="нет","без дифференциации",IF($R$105=0,"",$R$105))</f>
        <v/>
      </c>
      <c r="AM105" s="1190" t="str">
        <f>IF($S$105="нет","без дифференциации",IF($V$105=0,"",$V$105))</f>
        <v/>
      </c>
      <c r="AN105" s="1190">
        <f>$I$105</f>
        <v>0</v>
      </c>
      <c r="AO105" s="1190" t="str">
        <f>$I$105&amp;"."&amp;$M$105</f>
        <v>.</v>
      </c>
      <c r="AP105" s="1190" t="str">
        <f>$I$105&amp;"."&amp;$M$105&amp;"."&amp;$Q$105</f>
        <v>..</v>
      </c>
      <c r="AQ105" s="1190" t="str">
        <f>$I$105&amp;"."&amp;$M$105&amp;"."&amp;$Q$105&amp;"."&amp;$U$105</f>
        <v>...</v>
      </c>
      <c r="AR105" s="1390">
        <v>0</v>
      </c>
    </row>
    <row r="106" spans="1:44" s="1770" customFormat="1" ht="17.25" customHeight="1">
      <c r="A106" s="258"/>
      <c r="C106" s="257"/>
      <c r="D106" s="2396"/>
      <c r="E106" s="2403"/>
      <c r="F106" s="2406"/>
      <c r="G106" s="2403"/>
      <c r="H106" s="2409"/>
      <c r="I106" s="2411"/>
      <c r="J106" s="2413"/>
      <c r="K106" s="2398"/>
      <c r="L106" s="2398"/>
      <c r="M106" s="2398"/>
      <c r="N106" s="2400"/>
      <c r="O106" s="2398"/>
      <c r="P106" s="2398"/>
      <c r="Q106" s="2398"/>
      <c r="R106" s="2401"/>
      <c r="S106" s="2398"/>
      <c r="T106" s="1220"/>
      <c r="U106" s="1220"/>
      <c r="V106" s="1220"/>
      <c r="W106" s="1221"/>
      <c r="Y106" s="1182"/>
      <c r="Z106" s="1182"/>
      <c r="AA106" s="1182"/>
      <c r="AB106" s="1182"/>
      <c r="AC106" s="1182"/>
      <c r="AD106" s="1182"/>
      <c r="AE106" s="1182"/>
      <c r="AF106" s="1182"/>
      <c r="AG106" s="1182"/>
      <c r="AH106" s="1182"/>
      <c r="AI106" s="1182"/>
      <c r="AJ106" s="1182"/>
      <c r="AK106" s="1182"/>
      <c r="AL106" s="1182"/>
      <c r="AM106" s="1182"/>
      <c r="AN106" s="1182"/>
      <c r="AO106" s="1182"/>
      <c r="AP106" s="1182"/>
      <c r="AQ106" s="1182"/>
      <c r="AR106" s="1390">
        <v>0</v>
      </c>
    </row>
    <row r="107" spans="1:44" s="1770" customFormat="1" ht="17.25" customHeight="1">
      <c r="A107" s="258"/>
      <c r="C107" s="146"/>
      <c r="D107" s="2396"/>
      <c r="E107" s="2403"/>
      <c r="F107" s="2406"/>
      <c r="G107" s="2403"/>
      <c r="H107" s="2409"/>
      <c r="I107" s="2411"/>
      <c r="J107" s="2414"/>
      <c r="K107" s="2398"/>
      <c r="L107" s="2398"/>
      <c r="M107" s="2398"/>
      <c r="N107" s="2401"/>
      <c r="O107" s="2398"/>
      <c r="P107" s="1394"/>
      <c r="Q107" s="1220"/>
      <c r="R107" s="1220"/>
      <c r="S107" s="266"/>
      <c r="T107" s="266"/>
      <c r="U107" s="266"/>
      <c r="V107" s="266"/>
      <c r="W107" s="1221"/>
      <c r="Y107" s="1190"/>
      <c r="Z107" s="1190"/>
      <c r="AA107" s="1190"/>
      <c r="AB107" s="1190"/>
      <c r="AC107" s="1190"/>
      <c r="AD107" s="1190"/>
      <c r="AE107" s="1190"/>
      <c r="AF107" s="1190"/>
      <c r="AG107" s="1190"/>
      <c r="AH107" s="1190"/>
      <c r="AI107" s="1190"/>
      <c r="AJ107" s="1190"/>
      <c r="AK107" s="1190"/>
      <c r="AL107" s="1190"/>
      <c r="AM107" s="1190"/>
      <c r="AN107" s="1190"/>
      <c r="AO107" s="1190"/>
      <c r="AP107" s="1190"/>
      <c r="AQ107" s="1190"/>
      <c r="AR107" s="1390">
        <v>0</v>
      </c>
    </row>
    <row r="108" spans="1:44" s="1770" customFormat="1" ht="17.25" customHeight="1">
      <c r="A108" s="258"/>
      <c r="C108" s="257"/>
      <c r="D108" s="2396"/>
      <c r="E108" s="2403"/>
      <c r="F108" s="2406"/>
      <c r="G108" s="2403"/>
      <c r="H108" s="2409"/>
      <c r="I108" s="2411"/>
      <c r="J108" s="2414"/>
      <c r="K108" s="2398"/>
      <c r="L108" s="1220"/>
      <c r="M108" s="1220"/>
      <c r="N108" s="1220"/>
      <c r="O108" s="1220"/>
      <c r="P108" s="1220"/>
      <c r="Q108" s="1220"/>
      <c r="R108" s="1220"/>
      <c r="S108" s="266"/>
      <c r="T108" s="266"/>
      <c r="U108" s="266"/>
      <c r="V108" s="266"/>
      <c r="W108" s="1221"/>
      <c r="Y108" s="1182"/>
      <c r="Z108" s="1182"/>
      <c r="AA108" s="1182"/>
      <c r="AB108" s="1182"/>
      <c r="AC108" s="1182"/>
      <c r="AD108" s="1182"/>
      <c r="AE108" s="1182"/>
      <c r="AF108" s="1182"/>
      <c r="AG108" s="1182"/>
      <c r="AH108" s="1182"/>
      <c r="AI108" s="1182"/>
      <c r="AJ108" s="1182"/>
      <c r="AK108" s="1182"/>
      <c r="AL108" s="1182"/>
      <c r="AM108" s="1182"/>
      <c r="AN108" s="1182"/>
      <c r="AO108" s="1182"/>
      <c r="AP108" s="1182"/>
      <c r="AQ108" s="1182"/>
      <c r="AR108" s="1390">
        <v>0</v>
      </c>
    </row>
    <row r="109" spans="1:44" s="1770" customFormat="1" ht="17.25" customHeight="1">
      <c r="A109" s="258"/>
      <c r="C109" s="257"/>
      <c r="D109" s="2372"/>
      <c r="E109" s="2404"/>
      <c r="F109" s="2407"/>
      <c r="G109" s="2404"/>
      <c r="H109" s="1222"/>
      <c r="I109" s="1223"/>
      <c r="J109" s="1223"/>
      <c r="K109" s="1223"/>
      <c r="L109" s="1223"/>
      <c r="M109" s="1223"/>
      <c r="N109" s="1223"/>
      <c r="O109" s="1223"/>
      <c r="P109" s="1223"/>
      <c r="Q109" s="1223"/>
      <c r="R109" s="1223"/>
      <c r="S109" s="1224"/>
      <c r="T109" s="1224"/>
      <c r="U109" s="1224"/>
      <c r="V109" s="1224"/>
      <c r="W109" s="1225"/>
      <c r="Y109" s="1182"/>
      <c r="Z109" s="1182"/>
      <c r="AA109" s="1182"/>
      <c r="AB109" s="1182"/>
      <c r="AC109" s="1182"/>
      <c r="AD109" s="1182"/>
      <c r="AE109" s="1182"/>
      <c r="AF109" s="1182"/>
      <c r="AG109" s="1182"/>
      <c r="AH109" s="1182"/>
      <c r="AI109" s="1182"/>
      <c r="AJ109" s="1182"/>
      <c r="AK109" s="1182"/>
      <c r="AL109" s="1182"/>
      <c r="AM109" s="1182"/>
      <c r="AN109" s="1182"/>
      <c r="AO109" s="1182"/>
      <c r="AP109" s="1182"/>
      <c r="AQ109" s="1182"/>
      <c r="AR109" s="1390">
        <v>0</v>
      </c>
    </row>
    <row r="110" spans="1:44" s="1770" customFormat="1" ht="17.25" customHeight="1">
      <c r="A110" s="258"/>
      <c r="C110" s="146"/>
      <c r="D110" s="2396">
        <v>2</v>
      </c>
      <c r="E110" s="2403" t="s">
        <v>273</v>
      </c>
      <c r="F110" s="2405" t="s">
        <v>19</v>
      </c>
      <c r="G110" s="2403"/>
      <c r="H110" s="2408"/>
      <c r="I110" s="2410"/>
      <c r="J110" s="2412"/>
      <c r="K110" s="2397"/>
      <c r="L110" s="2397"/>
      <c r="M110" s="2397"/>
      <c r="N110" s="2399"/>
      <c r="O110" s="2397"/>
      <c r="P110" s="2397"/>
      <c r="Q110" s="2397"/>
      <c r="R110" s="2402"/>
      <c r="S110" s="2397"/>
      <c r="T110" s="1393"/>
      <c r="U110" s="1393"/>
      <c r="V110" s="1395"/>
      <c r="W110" s="1219"/>
      <c r="X110" s="1190"/>
      <c r="Y110" s="1190"/>
      <c r="Z110" s="1190"/>
      <c r="AA110" s="1190"/>
      <c r="AB110" s="1190"/>
      <c r="AC110" s="1190" t="s">
        <v>274</v>
      </c>
      <c r="AD110" s="1190" t="s">
        <v>275</v>
      </c>
      <c r="AE110" s="1190" t="s">
        <v>276</v>
      </c>
      <c r="AF110" s="1190" t="s">
        <v>277</v>
      </c>
      <c r="AG110" s="1190"/>
      <c r="AH110" s="1190" t="str">
        <f>IF($E$110=0,"",$E$110)</f>
        <v>Тариф на транспортировку горячей воды</v>
      </c>
      <c r="AI110" s="1190" t="str">
        <f>IF($G$110=0,"",$G$110)</f>
        <v/>
      </c>
      <c r="AJ110" s="1190" t="str">
        <f>IF($J$110=0,"",$J$110)</f>
        <v/>
      </c>
      <c r="AK110" s="1190" t="str">
        <f>IF($K$110="нет","без дифференциации",IF($N$110=0,"",$N$110))</f>
        <v/>
      </c>
      <c r="AL110" s="1190" t="str">
        <f>IF($O$110="нет","без дифференциации",IF($R$110=0,"",$R$110))</f>
        <v/>
      </c>
      <c r="AM110" s="1190" t="str">
        <f>IF($S$110="нет","без дифференциации",IF($V$110=0,"",$V$110))</f>
        <v/>
      </c>
      <c r="AN110" s="1693">
        <f>$I$110</f>
        <v>0</v>
      </c>
      <c r="AO110" s="1190" t="str">
        <f>$I$110&amp;"."&amp;$M$110</f>
        <v>.</v>
      </c>
      <c r="AP110" s="1182" t="str">
        <f>$I$110&amp;"."&amp;$M$110&amp;"."&amp;$Q$110</f>
        <v>..</v>
      </c>
      <c r="AQ110" s="1182" t="str">
        <f>$I$110&amp;"."&amp;$M$110&amp;"."&amp;$Q$110&amp;"."&amp;$U$110</f>
        <v>...</v>
      </c>
      <c r="AR110" s="1390">
        <v>0</v>
      </c>
    </row>
    <row r="111" spans="1:44" s="1770" customFormat="1" ht="17.25" customHeight="1">
      <c r="A111" s="258"/>
      <c r="C111" s="257"/>
      <c r="D111" s="2396"/>
      <c r="E111" s="2403"/>
      <c r="F111" s="2406"/>
      <c r="G111" s="2403"/>
      <c r="H111" s="2409"/>
      <c r="I111" s="2411"/>
      <c r="J111" s="2413"/>
      <c r="K111" s="2398"/>
      <c r="L111" s="2398"/>
      <c r="M111" s="2398"/>
      <c r="N111" s="2400"/>
      <c r="O111" s="2398"/>
      <c r="P111" s="2398"/>
      <c r="Q111" s="2398"/>
      <c r="R111" s="2401"/>
      <c r="S111" s="2398"/>
      <c r="T111" s="1220"/>
      <c r="U111" s="1220"/>
      <c r="V111" s="1220"/>
      <c r="W111" s="1221"/>
      <c r="X111" s="1182"/>
      <c r="Y111" s="1182"/>
      <c r="Z111" s="1182"/>
      <c r="AA111" s="1182"/>
      <c r="AB111" s="1182"/>
      <c r="AC111" s="1182"/>
      <c r="AD111" s="1182"/>
      <c r="AE111" s="1182"/>
      <c r="AF111" s="1182"/>
      <c r="AG111" s="1182"/>
      <c r="AH111" s="1182"/>
      <c r="AI111" s="1182"/>
      <c r="AJ111" s="1182"/>
      <c r="AK111" s="1182"/>
      <c r="AL111" s="1182"/>
      <c r="AM111" s="1182"/>
      <c r="AN111" s="1182"/>
      <c r="AO111" s="1182"/>
      <c r="AP111" s="1182"/>
      <c r="AQ111" s="1182"/>
      <c r="AR111" s="1390">
        <v>0</v>
      </c>
    </row>
    <row r="112" spans="1:44" s="1770" customFormat="1" ht="17.25" customHeight="1">
      <c r="A112" s="258"/>
      <c r="C112" s="257"/>
      <c r="D112" s="2372"/>
      <c r="E112" s="2404"/>
      <c r="F112" s="2406"/>
      <c r="G112" s="2404"/>
      <c r="H112" s="2409"/>
      <c r="I112" s="2411"/>
      <c r="J112" s="2414"/>
      <c r="K112" s="2398"/>
      <c r="L112" s="2398"/>
      <c r="M112" s="2398"/>
      <c r="N112" s="2401"/>
      <c r="O112" s="2398"/>
      <c r="P112" s="1394"/>
      <c r="Q112" s="1220"/>
      <c r="R112" s="1220"/>
      <c r="S112" s="266"/>
      <c r="T112" s="266"/>
      <c r="U112" s="266"/>
      <c r="V112" s="266"/>
      <c r="W112" s="1221"/>
      <c r="X112" s="1182"/>
      <c r="Y112" s="1182"/>
      <c r="Z112" s="1182"/>
      <c r="AA112" s="1182"/>
      <c r="AB112" s="1182"/>
      <c r="AC112" s="1182"/>
      <c r="AD112" s="1182"/>
      <c r="AE112" s="1182"/>
      <c r="AF112" s="1182"/>
      <c r="AG112" s="1182"/>
      <c r="AH112" s="1182"/>
      <c r="AI112" s="1182"/>
      <c r="AJ112" s="1182"/>
      <c r="AK112" s="1182"/>
      <c r="AL112" s="1182"/>
      <c r="AM112" s="1182"/>
      <c r="AN112" s="1182"/>
      <c r="AO112" s="1182"/>
      <c r="AP112" s="1182"/>
      <c r="AQ112" s="1182"/>
      <c r="AR112" s="1390">
        <v>0</v>
      </c>
    </row>
    <row r="113" spans="1:44" s="1770" customFormat="1" ht="17.25" customHeight="1">
      <c r="A113" s="258"/>
      <c r="C113" s="257"/>
      <c r="D113" s="2372"/>
      <c r="E113" s="2404"/>
      <c r="F113" s="2406"/>
      <c r="G113" s="2404"/>
      <c r="H113" s="2409"/>
      <c r="I113" s="2411"/>
      <c r="J113" s="2414"/>
      <c r="K113" s="2398"/>
      <c r="L113" s="1220"/>
      <c r="M113" s="1220"/>
      <c r="N113" s="1220"/>
      <c r="O113" s="1220"/>
      <c r="P113" s="1220"/>
      <c r="Q113" s="1220"/>
      <c r="R113" s="1220"/>
      <c r="S113" s="266"/>
      <c r="T113" s="266"/>
      <c r="U113" s="266"/>
      <c r="V113" s="266"/>
      <c r="W113" s="1221"/>
      <c r="X113" s="1182"/>
      <c r="Y113" s="1182"/>
      <c r="Z113" s="1182"/>
      <c r="AA113" s="1182"/>
      <c r="AB113" s="1182"/>
      <c r="AC113" s="1182"/>
      <c r="AD113" s="1182"/>
      <c r="AE113" s="1182"/>
      <c r="AF113" s="1182"/>
      <c r="AG113" s="1182"/>
      <c r="AH113" s="1182"/>
      <c r="AI113" s="1182"/>
      <c r="AJ113" s="1182"/>
      <c r="AK113" s="1182"/>
      <c r="AL113" s="1182"/>
      <c r="AM113" s="1182"/>
      <c r="AN113" s="1182"/>
      <c r="AO113" s="1182"/>
      <c r="AP113" s="1182"/>
      <c r="AQ113" s="1182"/>
      <c r="AR113" s="1390">
        <v>0</v>
      </c>
    </row>
    <row r="114" spans="1:44" s="1770" customFormat="1" ht="17.25" customHeight="1">
      <c r="A114" s="258"/>
      <c r="C114" s="257"/>
      <c r="D114" s="2372"/>
      <c r="E114" s="2404"/>
      <c r="F114" s="2407"/>
      <c r="G114" s="2404"/>
      <c r="H114" s="1222"/>
      <c r="I114" s="1223"/>
      <c r="J114" s="1223"/>
      <c r="K114" s="1223"/>
      <c r="L114" s="1223"/>
      <c r="M114" s="1223"/>
      <c r="N114" s="1223"/>
      <c r="O114" s="1223"/>
      <c r="P114" s="1223"/>
      <c r="Q114" s="1223"/>
      <c r="R114" s="1223"/>
      <c r="S114" s="1224"/>
      <c r="T114" s="1224"/>
      <c r="U114" s="1224"/>
      <c r="V114" s="1224"/>
      <c r="W114" s="1225"/>
      <c r="X114" s="1182"/>
      <c r="Y114" s="1182"/>
      <c r="Z114" s="1182"/>
      <c r="AA114" s="1182"/>
      <c r="AB114" s="1182"/>
      <c r="AC114" s="1182"/>
      <c r="AD114" s="1182"/>
      <c r="AE114" s="1182"/>
      <c r="AF114" s="1182"/>
      <c r="AG114" s="1182"/>
      <c r="AH114" s="1182"/>
      <c r="AI114" s="1182"/>
      <c r="AJ114" s="1182"/>
      <c r="AK114" s="1182"/>
      <c r="AL114" s="1182"/>
      <c r="AM114" s="1182"/>
      <c r="AN114" s="1182"/>
      <c r="AO114" s="1182"/>
      <c r="AP114" s="1182"/>
      <c r="AQ114" s="1182"/>
      <c r="AR114" s="1390">
        <v>0</v>
      </c>
    </row>
    <row r="115" spans="1:44" s="1770" customFormat="1" ht="17.25" customHeight="1">
      <c r="A115" s="258"/>
      <c r="C115" s="146"/>
      <c r="D115" s="2396">
        <v>3</v>
      </c>
      <c r="E115" s="2403" t="s">
        <v>278</v>
      </c>
      <c r="F115" s="2405" t="s">
        <v>19</v>
      </c>
      <c r="G115" s="2403"/>
      <c r="H115" s="2408"/>
      <c r="I115" s="2410"/>
      <c r="J115" s="2412"/>
      <c r="K115" s="2397"/>
      <c r="L115" s="2397"/>
      <c r="M115" s="2397"/>
      <c r="N115" s="2399"/>
      <c r="O115" s="2397"/>
      <c r="P115" s="2397"/>
      <c r="Q115" s="2397"/>
      <c r="R115" s="2402"/>
      <c r="S115" s="2397"/>
      <c r="T115" s="1857"/>
      <c r="U115" s="1857"/>
      <c r="V115" s="1859"/>
      <c r="W115" s="1219"/>
      <c r="X115" s="1190"/>
      <c r="Y115" s="1190"/>
      <c r="Z115" s="1190"/>
      <c r="AA115" s="1190"/>
      <c r="AB115" s="1190"/>
      <c r="AC115" s="1190" t="s">
        <v>279</v>
      </c>
      <c r="AD115" s="1190" t="s">
        <v>280</v>
      </c>
      <c r="AE115" s="1190" t="s">
        <v>281</v>
      </c>
      <c r="AF115" s="1190" t="s">
        <v>282</v>
      </c>
      <c r="AG115" s="1190"/>
      <c r="AH115" s="1190" t="str">
        <f>IF($E$115=0,"",$E$115)</f>
        <v>Тариф на подключение (технологическое присоединение) к централизованной системе горячего водоснабжения</v>
      </c>
      <c r="AI115" s="1190" t="str">
        <f>IF($G$115=0,"",$G$115)</f>
        <v/>
      </c>
      <c r="AJ115" s="1190" t="str">
        <f>IF($J$115=0,"",$J$115)</f>
        <v/>
      </c>
      <c r="AK115" s="1190" t="str">
        <f>IF($K$115="нет","без дифференциации",IF($N$115=0,"",$N$115))</f>
        <v/>
      </c>
      <c r="AL115" s="1190" t="str">
        <f>IF($O$115="нет","без дифференциации",IF($R$115=0,"",$R$115))</f>
        <v/>
      </c>
      <c r="AM115" s="1190" t="str">
        <f>IF($S$115="нет","без дифференциации",IF($V$115=0,"",$V$115))</f>
        <v/>
      </c>
      <c r="AN115" s="1693">
        <f>$I$115</f>
        <v>0</v>
      </c>
      <c r="AO115" s="1190" t="str">
        <f>$I$115&amp;"."&amp;$M$115</f>
        <v>.</v>
      </c>
      <c r="AP115" s="1189" t="str">
        <f>$I$115&amp;"."&amp;$M$115&amp;"."&amp;$Q$115</f>
        <v>..</v>
      </c>
      <c r="AQ115" s="1189" t="str">
        <f>$I$115&amp;"."&amp;$M$115&amp;"."&amp;$Q$115&amp;"."&amp;$U$115</f>
        <v>...</v>
      </c>
      <c r="AR115" s="1390">
        <v>0</v>
      </c>
    </row>
    <row r="116" spans="1:44" s="1770" customFormat="1" ht="17.25" customHeight="1">
      <c r="A116" s="258"/>
      <c r="C116" s="257"/>
      <c r="D116" s="2396"/>
      <c r="E116" s="2403"/>
      <c r="F116" s="2406"/>
      <c r="G116" s="2403"/>
      <c r="H116" s="2409"/>
      <c r="I116" s="2411"/>
      <c r="J116" s="2413"/>
      <c r="K116" s="2398"/>
      <c r="L116" s="2398"/>
      <c r="M116" s="2398"/>
      <c r="N116" s="2400"/>
      <c r="O116" s="2398"/>
      <c r="P116" s="2398"/>
      <c r="Q116" s="2398"/>
      <c r="R116" s="2401"/>
      <c r="S116" s="2398"/>
      <c r="T116" s="1862"/>
      <c r="U116" s="1862"/>
      <c r="V116" s="1862"/>
      <c r="W116" s="1863"/>
      <c r="X116" s="1189"/>
      <c r="Y116" s="1189"/>
      <c r="Z116" s="1189"/>
      <c r="AA116" s="1189"/>
      <c r="AB116" s="1189"/>
      <c r="AC116" s="1189"/>
      <c r="AD116" s="1189"/>
      <c r="AE116" s="1189"/>
      <c r="AF116" s="1189"/>
      <c r="AG116" s="1189"/>
      <c r="AH116" s="1189"/>
      <c r="AI116" s="1189"/>
      <c r="AJ116" s="1189"/>
      <c r="AK116" s="1189"/>
      <c r="AL116" s="1189"/>
      <c r="AM116" s="1189"/>
      <c r="AN116" s="1189"/>
      <c r="AO116" s="1189"/>
      <c r="AP116" s="1189"/>
      <c r="AQ116" s="1189"/>
      <c r="AR116" s="1390">
        <v>0</v>
      </c>
    </row>
    <row r="117" spans="1:44" s="1770" customFormat="1" ht="17.25" customHeight="1">
      <c r="A117" s="258"/>
      <c r="C117" s="257"/>
      <c r="D117" s="2372"/>
      <c r="E117" s="2404"/>
      <c r="F117" s="2406"/>
      <c r="G117" s="2404"/>
      <c r="H117" s="2409"/>
      <c r="I117" s="2411"/>
      <c r="J117" s="2414"/>
      <c r="K117" s="2398"/>
      <c r="L117" s="2398"/>
      <c r="M117" s="2398"/>
      <c r="N117" s="2401"/>
      <c r="O117" s="2398"/>
      <c r="P117" s="1858"/>
      <c r="Q117" s="1862"/>
      <c r="R117" s="1862"/>
      <c r="S117" s="266"/>
      <c r="T117" s="266"/>
      <c r="U117" s="266"/>
      <c r="V117" s="266"/>
      <c r="W117" s="1863"/>
      <c r="X117" s="1189"/>
      <c r="Y117" s="1189"/>
      <c r="Z117" s="1189"/>
      <c r="AA117" s="1189"/>
      <c r="AB117" s="1189"/>
      <c r="AC117" s="1189"/>
      <c r="AD117" s="1189"/>
      <c r="AE117" s="1189"/>
      <c r="AF117" s="1189"/>
      <c r="AG117" s="1189"/>
      <c r="AH117" s="1189"/>
      <c r="AI117" s="1189"/>
      <c r="AJ117" s="1189"/>
      <c r="AK117" s="1189"/>
      <c r="AL117" s="1189"/>
      <c r="AM117" s="1189"/>
      <c r="AN117" s="1189"/>
      <c r="AO117" s="1189"/>
      <c r="AP117" s="1189"/>
      <c r="AQ117" s="1189"/>
      <c r="AR117" s="1390">
        <v>0</v>
      </c>
    </row>
    <row r="118" spans="1:44" s="1770" customFormat="1" ht="17.25" customHeight="1">
      <c r="A118" s="258"/>
      <c r="C118" s="257"/>
      <c r="D118" s="2372"/>
      <c r="E118" s="2404"/>
      <c r="F118" s="2406"/>
      <c r="G118" s="2404"/>
      <c r="H118" s="2409"/>
      <c r="I118" s="2411"/>
      <c r="J118" s="2414"/>
      <c r="K118" s="2398"/>
      <c r="L118" s="1862"/>
      <c r="M118" s="1862"/>
      <c r="N118" s="1862"/>
      <c r="O118" s="1862"/>
      <c r="P118" s="1862"/>
      <c r="Q118" s="1862"/>
      <c r="R118" s="1862"/>
      <c r="S118" s="266"/>
      <c r="T118" s="266"/>
      <c r="U118" s="266"/>
      <c r="V118" s="266"/>
      <c r="W118" s="1863"/>
      <c r="X118" s="1189"/>
      <c r="Y118" s="1189"/>
      <c r="Z118" s="1189"/>
      <c r="AA118" s="1189"/>
      <c r="AB118" s="1189"/>
      <c r="AC118" s="1189"/>
      <c r="AD118" s="1189"/>
      <c r="AE118" s="1189"/>
      <c r="AF118" s="1189"/>
      <c r="AG118" s="1189"/>
      <c r="AH118" s="1189"/>
      <c r="AI118" s="1189"/>
      <c r="AJ118" s="1189"/>
      <c r="AK118" s="1189"/>
      <c r="AL118" s="1189"/>
      <c r="AM118" s="1189"/>
      <c r="AN118" s="1189"/>
      <c r="AO118" s="1189"/>
      <c r="AP118" s="1189"/>
      <c r="AQ118" s="1189"/>
      <c r="AR118" s="1390">
        <v>0</v>
      </c>
    </row>
    <row r="119" spans="1:44" s="1770" customFormat="1" ht="17.25" customHeight="1">
      <c r="A119" s="258"/>
      <c r="C119" s="257"/>
      <c r="D119" s="2372"/>
      <c r="E119" s="2404"/>
      <c r="F119" s="2407"/>
      <c r="G119" s="2404"/>
      <c r="H119" s="1222"/>
      <c r="I119" s="1860"/>
      <c r="J119" s="1860"/>
      <c r="K119" s="1860"/>
      <c r="L119" s="1860"/>
      <c r="M119" s="1860"/>
      <c r="N119" s="1860"/>
      <c r="O119" s="1860"/>
      <c r="P119" s="1860"/>
      <c r="Q119" s="1860"/>
      <c r="R119" s="1860"/>
      <c r="S119" s="1224"/>
      <c r="T119" s="1224"/>
      <c r="U119" s="1224"/>
      <c r="V119" s="1224"/>
      <c r="W119" s="1861"/>
      <c r="X119" s="1189"/>
      <c r="Y119" s="1189"/>
      <c r="Z119" s="1189"/>
      <c r="AA119" s="1189"/>
      <c r="AB119" s="1189"/>
      <c r="AC119" s="1189"/>
      <c r="AD119" s="1189"/>
      <c r="AE119" s="1189"/>
      <c r="AF119" s="1189"/>
      <c r="AG119" s="1189"/>
      <c r="AH119" s="1189"/>
      <c r="AI119" s="1189"/>
      <c r="AJ119" s="1189"/>
      <c r="AK119" s="1189"/>
      <c r="AL119" s="1189"/>
      <c r="AM119" s="1189"/>
      <c r="AN119" s="1189"/>
      <c r="AO119" s="1189"/>
      <c r="AP119" s="1189"/>
      <c r="AQ119" s="1189"/>
      <c r="AR119" s="1390">
        <v>0</v>
      </c>
    </row>
    <row r="120" spans="1:44" s="1770" customFormat="1" ht="11.25" customHeight="1">
      <c r="A120" s="214"/>
      <c r="B120" s="214"/>
      <c r="Y120" s="1182"/>
      <c r="Z120" s="1182"/>
      <c r="AA120" s="1182"/>
      <c r="AB120" s="1182"/>
      <c r="AC120" s="1182"/>
      <c r="AD120" s="1182"/>
      <c r="AE120" s="1182"/>
      <c r="AF120" s="1182"/>
      <c r="AG120" s="1182"/>
      <c r="AH120" s="1182"/>
      <c r="AI120" s="1182"/>
      <c r="AJ120" s="1182"/>
      <c r="AK120" s="1182"/>
      <c r="AL120" s="1182"/>
      <c r="AM120" s="1182"/>
      <c r="AN120" s="1182"/>
      <c r="AO120" s="1182"/>
      <c r="AP120" s="1182"/>
      <c r="AQ120" s="1182"/>
      <c r="AR120" s="1390">
        <v>0</v>
      </c>
    </row>
    <row r="121" spans="1:44" s="1770" customFormat="1" ht="17.25" customHeight="1">
      <c r="A121" s="258"/>
      <c r="C121" s="146"/>
      <c r="D121" s="2396">
        <v>1</v>
      </c>
      <c r="E121" s="2403" t="s">
        <v>283</v>
      </c>
      <c r="F121" s="2405" t="s">
        <v>19</v>
      </c>
      <c r="G121" s="2403"/>
      <c r="H121" s="2408"/>
      <c r="I121" s="2410"/>
      <c r="J121" s="2412"/>
      <c r="K121" s="2397"/>
      <c r="L121" s="2397"/>
      <c r="M121" s="2397"/>
      <c r="N121" s="2399"/>
      <c r="O121" s="2397"/>
      <c r="P121" s="2397"/>
      <c r="Q121" s="2397"/>
      <c r="R121" s="2402"/>
      <c r="S121" s="2397"/>
      <c r="T121" s="1393"/>
      <c r="U121" s="1393"/>
      <c r="V121" s="1395"/>
      <c r="W121" s="1219"/>
      <c r="Y121" s="1190"/>
      <c r="Z121" s="1190"/>
      <c r="AA121" s="1190"/>
      <c r="AB121" s="1190"/>
      <c r="AC121" s="1190" t="s">
        <v>284</v>
      </c>
      <c r="AD121" s="1190" t="s">
        <v>285</v>
      </c>
      <c r="AE121" s="1190" t="s">
        <v>286</v>
      </c>
      <c r="AF121" s="1190" t="s">
        <v>287</v>
      </c>
      <c r="AG121" s="1190"/>
      <c r="AH121" s="1190" t="str">
        <f>IF($E$121=0,"",$E$121)</f>
        <v>Тариф на водоотведение</v>
      </c>
      <c r="AI121" s="1190" t="str">
        <f>IF($G$121=0,"",$G$121)</f>
        <v/>
      </c>
      <c r="AJ121" s="1190" t="str">
        <f>IF($J$121=0,"",$J$121)</f>
        <v/>
      </c>
      <c r="AK121" s="1190" t="str">
        <f>IF($K$121="нет","без дифференциации",IF($N$121=0,"",$N$121))</f>
        <v/>
      </c>
      <c r="AL121" s="1190" t="str">
        <f>IF($O$121="нет","без дифференциации",IF($R$121=0,"",$R$121))</f>
        <v/>
      </c>
      <c r="AM121" s="1190" t="str">
        <f>IF($S$121="нет","без дифференциации",IF($V$121=0,"",$V$121))</f>
        <v/>
      </c>
      <c r="AN121" s="1190">
        <f>$I$121</f>
        <v>0</v>
      </c>
      <c r="AO121" s="1190" t="str">
        <f>$I$121&amp;"."&amp;$M$121</f>
        <v>.</v>
      </c>
      <c r="AP121" s="1190" t="str">
        <f>$I$121&amp;"."&amp;$M$121&amp;"."&amp;$Q$121</f>
        <v>..</v>
      </c>
      <c r="AQ121" s="1190" t="str">
        <f>$I$121&amp;"."&amp;$M$121&amp;"."&amp;$Q$121&amp;"."&amp;$U$121</f>
        <v>...</v>
      </c>
      <c r="AR121" s="1390">
        <v>0</v>
      </c>
    </row>
    <row r="122" spans="1:44" s="1770" customFormat="1" ht="17.25" customHeight="1">
      <c r="A122" s="258"/>
      <c r="C122" s="257"/>
      <c r="D122" s="2396"/>
      <c r="E122" s="2403"/>
      <c r="F122" s="2406"/>
      <c r="G122" s="2403"/>
      <c r="H122" s="2409"/>
      <c r="I122" s="2411"/>
      <c r="J122" s="2413"/>
      <c r="K122" s="2398"/>
      <c r="L122" s="2398"/>
      <c r="M122" s="2398"/>
      <c r="N122" s="2400"/>
      <c r="O122" s="2398"/>
      <c r="P122" s="2398"/>
      <c r="Q122" s="2398"/>
      <c r="R122" s="2401"/>
      <c r="S122" s="2398"/>
      <c r="T122" s="1220"/>
      <c r="U122" s="1220"/>
      <c r="V122" s="1220"/>
      <c r="W122" s="1221"/>
      <c r="Y122" s="1182"/>
      <c r="Z122" s="1182"/>
      <c r="AA122" s="1182"/>
      <c r="AB122" s="1182"/>
      <c r="AC122" s="1182"/>
      <c r="AD122" s="1182"/>
      <c r="AE122" s="1182"/>
      <c r="AF122" s="1182"/>
      <c r="AG122" s="1182"/>
      <c r="AH122" s="1182"/>
      <c r="AI122" s="1182"/>
      <c r="AJ122" s="1182"/>
      <c r="AK122" s="1182"/>
      <c r="AL122" s="1182"/>
      <c r="AM122" s="1182"/>
      <c r="AN122" s="1182"/>
      <c r="AO122" s="1182"/>
      <c r="AP122" s="1182"/>
      <c r="AQ122" s="1182"/>
      <c r="AR122" s="1390">
        <v>0</v>
      </c>
    </row>
    <row r="123" spans="1:44" s="1770" customFormat="1" ht="17.25" customHeight="1">
      <c r="A123" s="258"/>
      <c r="C123" s="146"/>
      <c r="D123" s="2396"/>
      <c r="E123" s="2403"/>
      <c r="F123" s="2406"/>
      <c r="G123" s="2403"/>
      <c r="H123" s="2409"/>
      <c r="I123" s="2411"/>
      <c r="J123" s="2414"/>
      <c r="K123" s="2398"/>
      <c r="L123" s="2398"/>
      <c r="M123" s="2398"/>
      <c r="N123" s="2401"/>
      <c r="O123" s="2398"/>
      <c r="P123" s="1394"/>
      <c r="Q123" s="1220"/>
      <c r="R123" s="1220"/>
      <c r="S123" s="266"/>
      <c r="T123" s="266"/>
      <c r="U123" s="266"/>
      <c r="V123" s="266"/>
      <c r="W123" s="1221"/>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390">
        <v>0</v>
      </c>
    </row>
    <row r="124" spans="1:44" s="1770" customFormat="1" ht="17.25" customHeight="1">
      <c r="A124" s="258"/>
      <c r="C124" s="257"/>
      <c r="D124" s="2396"/>
      <c r="E124" s="2403"/>
      <c r="F124" s="2406"/>
      <c r="G124" s="2403"/>
      <c r="H124" s="2409"/>
      <c r="I124" s="2411"/>
      <c r="J124" s="2414"/>
      <c r="K124" s="2398"/>
      <c r="L124" s="1220"/>
      <c r="M124" s="1220"/>
      <c r="N124" s="1220"/>
      <c r="O124" s="1220"/>
      <c r="P124" s="1220"/>
      <c r="Q124" s="1220"/>
      <c r="R124" s="1220"/>
      <c r="S124" s="266"/>
      <c r="T124" s="266"/>
      <c r="U124" s="266"/>
      <c r="V124" s="266"/>
      <c r="W124" s="1221"/>
      <c r="Y124" s="1182"/>
      <c r="Z124" s="1182"/>
      <c r="AA124" s="1182"/>
      <c r="AB124" s="1182"/>
      <c r="AC124" s="1182"/>
      <c r="AD124" s="1182"/>
      <c r="AE124" s="1182"/>
      <c r="AF124" s="1182"/>
      <c r="AG124" s="1182"/>
      <c r="AH124" s="1182"/>
      <c r="AI124" s="1182"/>
      <c r="AJ124" s="1182"/>
      <c r="AK124" s="1182"/>
      <c r="AL124" s="1182"/>
      <c r="AM124" s="1182"/>
      <c r="AN124" s="1182"/>
      <c r="AO124" s="1182"/>
      <c r="AP124" s="1182"/>
      <c r="AQ124" s="1182"/>
      <c r="AR124" s="1390">
        <v>0</v>
      </c>
    </row>
    <row r="125" spans="1:44" s="1770" customFormat="1" ht="17.25" customHeight="1">
      <c r="A125" s="258"/>
      <c r="C125" s="257"/>
      <c r="D125" s="2372"/>
      <c r="E125" s="2404"/>
      <c r="F125" s="2407"/>
      <c r="G125" s="2404"/>
      <c r="H125" s="1222"/>
      <c r="I125" s="1223"/>
      <c r="J125" s="1223"/>
      <c r="K125" s="1223"/>
      <c r="L125" s="1223"/>
      <c r="M125" s="1223"/>
      <c r="N125" s="1223"/>
      <c r="O125" s="1223"/>
      <c r="P125" s="1223"/>
      <c r="Q125" s="1223"/>
      <c r="R125" s="1223"/>
      <c r="S125" s="1224"/>
      <c r="T125" s="1224"/>
      <c r="U125" s="1224"/>
      <c r="V125" s="1224"/>
      <c r="W125" s="1225"/>
      <c r="Y125" s="1182"/>
      <c r="Z125" s="1182"/>
      <c r="AA125" s="1182"/>
      <c r="AB125" s="1182"/>
      <c r="AC125" s="1182"/>
      <c r="AD125" s="1182"/>
      <c r="AE125" s="1182"/>
      <c r="AF125" s="1182"/>
      <c r="AG125" s="1182"/>
      <c r="AH125" s="1182"/>
      <c r="AI125" s="1182"/>
      <c r="AJ125" s="1182"/>
      <c r="AK125" s="1182"/>
      <c r="AL125" s="1182"/>
      <c r="AM125" s="1182"/>
      <c r="AN125" s="1182"/>
      <c r="AO125" s="1182"/>
      <c r="AP125" s="1182"/>
      <c r="AQ125" s="1182"/>
      <c r="AR125" s="1390">
        <v>0</v>
      </c>
    </row>
    <row r="126" spans="1:44" s="1770" customFormat="1" ht="17.25" customHeight="1">
      <c r="A126" s="258"/>
      <c r="C126" s="146"/>
      <c r="D126" s="2396">
        <v>2</v>
      </c>
      <c r="E126" s="2403" t="s">
        <v>288</v>
      </c>
      <c r="F126" s="2405" t="s">
        <v>19</v>
      </c>
      <c r="G126" s="2403"/>
      <c r="H126" s="2408"/>
      <c r="I126" s="2410"/>
      <c r="J126" s="2412"/>
      <c r="K126" s="2397"/>
      <c r="L126" s="2397"/>
      <c r="M126" s="2397"/>
      <c r="N126" s="2399"/>
      <c r="O126" s="2397"/>
      <c r="P126" s="2397"/>
      <c r="Q126" s="2397"/>
      <c r="R126" s="2402"/>
      <c r="S126" s="2397"/>
      <c r="T126" s="1393"/>
      <c r="U126" s="1393"/>
      <c r="V126" s="1395"/>
      <c r="W126" s="1219"/>
      <c r="X126" s="1190"/>
      <c r="Y126" s="1190"/>
      <c r="Z126" s="1190"/>
      <c r="AA126" s="1190"/>
      <c r="AB126" s="1190"/>
      <c r="AC126" s="1190" t="s">
        <v>289</v>
      </c>
      <c r="AD126" s="1190" t="s">
        <v>290</v>
      </c>
      <c r="AE126" s="1190" t="s">
        <v>291</v>
      </c>
      <c r="AF126" s="1190" t="s">
        <v>292</v>
      </c>
      <c r="AG126" s="1190"/>
      <c r="AH126" s="1190" t="str">
        <f>IF($E$126=0,"",$E$126)</f>
        <v>Тариф на транспортировку сточных вод</v>
      </c>
      <c r="AI126" s="1190" t="str">
        <f>IF($G$126=0,"",$G$126)</f>
        <v/>
      </c>
      <c r="AJ126" s="1190" t="str">
        <f>IF($J$126=0,"",$J$126)</f>
        <v/>
      </c>
      <c r="AK126" s="1190" t="str">
        <f>IF($K$126="нет","без дифференциации",IF($N$126=0,"",$N$126))</f>
        <v/>
      </c>
      <c r="AL126" s="1190" t="str">
        <f>IF($O$126="нет","без дифференциации",IF($R$126=0,"",$R$126))</f>
        <v/>
      </c>
      <c r="AM126" s="1190" t="str">
        <f>IF($S$126="нет","без дифференциации",IF($V$126=0,"",$V$126))</f>
        <v/>
      </c>
      <c r="AN126" s="1693">
        <f>$I$126</f>
        <v>0</v>
      </c>
      <c r="AO126" s="1190" t="str">
        <f>$I$126&amp;"."&amp;$M$126</f>
        <v>.</v>
      </c>
      <c r="AP126" s="1182" t="str">
        <f>$I$126&amp;"."&amp;$M$126&amp;"."&amp;$Q$126</f>
        <v>..</v>
      </c>
      <c r="AQ126" s="1182" t="str">
        <f>$I$126&amp;"."&amp;$M$126&amp;"."&amp;$Q$126&amp;"."&amp;$U$126</f>
        <v>...</v>
      </c>
      <c r="AR126" s="1390">
        <v>0</v>
      </c>
    </row>
    <row r="127" spans="1:44" s="1770" customFormat="1" ht="17.25" customHeight="1">
      <c r="A127" s="258"/>
      <c r="C127" s="257"/>
      <c r="D127" s="2396"/>
      <c r="E127" s="2403"/>
      <c r="F127" s="2406"/>
      <c r="G127" s="2403"/>
      <c r="H127" s="2409"/>
      <c r="I127" s="2411"/>
      <c r="J127" s="2413"/>
      <c r="K127" s="2398"/>
      <c r="L127" s="2398"/>
      <c r="M127" s="2398"/>
      <c r="N127" s="2400"/>
      <c r="O127" s="2398"/>
      <c r="P127" s="2398"/>
      <c r="Q127" s="2398"/>
      <c r="R127" s="2401"/>
      <c r="S127" s="2398"/>
      <c r="T127" s="1220"/>
      <c r="U127" s="1220"/>
      <c r="V127" s="1220"/>
      <c r="W127" s="1221"/>
      <c r="X127" s="1182"/>
      <c r="Y127" s="1182"/>
      <c r="Z127" s="1182"/>
      <c r="AA127" s="1182"/>
      <c r="AB127" s="1182"/>
      <c r="AC127" s="1182"/>
      <c r="AD127" s="1182"/>
      <c r="AE127" s="1182"/>
      <c r="AF127" s="1182"/>
      <c r="AG127" s="1182"/>
      <c r="AH127" s="1182"/>
      <c r="AI127" s="1182"/>
      <c r="AJ127" s="1182"/>
      <c r="AK127" s="1182"/>
      <c r="AL127" s="1182"/>
      <c r="AM127" s="1182"/>
      <c r="AN127" s="1182"/>
      <c r="AO127" s="1182"/>
      <c r="AP127" s="1182"/>
      <c r="AQ127" s="1182"/>
      <c r="AR127" s="1390">
        <v>0</v>
      </c>
    </row>
    <row r="128" spans="1:44" s="1770" customFormat="1" ht="17.25" customHeight="1">
      <c r="A128" s="258"/>
      <c r="C128" s="257"/>
      <c r="D128" s="2372"/>
      <c r="E128" s="2404"/>
      <c r="F128" s="2406"/>
      <c r="G128" s="2404"/>
      <c r="H128" s="2409"/>
      <c r="I128" s="2411"/>
      <c r="J128" s="2414"/>
      <c r="K128" s="2398"/>
      <c r="L128" s="2398"/>
      <c r="M128" s="2398"/>
      <c r="N128" s="2401"/>
      <c r="O128" s="2398"/>
      <c r="P128" s="1394"/>
      <c r="Q128" s="1220"/>
      <c r="R128" s="1220"/>
      <c r="S128" s="266"/>
      <c r="T128" s="266"/>
      <c r="U128" s="266"/>
      <c r="V128" s="266"/>
      <c r="W128" s="1221"/>
      <c r="X128" s="1182"/>
      <c r="Y128" s="1182"/>
      <c r="Z128" s="1182"/>
      <c r="AA128" s="1182"/>
      <c r="AB128" s="1182"/>
      <c r="AC128" s="1182"/>
      <c r="AD128" s="1182"/>
      <c r="AE128" s="1182"/>
      <c r="AF128" s="1182"/>
      <c r="AG128" s="1182"/>
      <c r="AH128" s="1182"/>
      <c r="AI128" s="1182"/>
      <c r="AJ128" s="1182"/>
      <c r="AK128" s="1182"/>
      <c r="AL128" s="1182"/>
      <c r="AM128" s="1182"/>
      <c r="AN128" s="1182"/>
      <c r="AO128" s="1182"/>
      <c r="AP128" s="1182"/>
      <c r="AQ128" s="1182"/>
      <c r="AR128" s="1390">
        <v>0</v>
      </c>
    </row>
    <row r="129" spans="1:44" s="1770" customFormat="1" ht="17.25" customHeight="1">
      <c r="A129" s="258"/>
      <c r="C129" s="257"/>
      <c r="D129" s="2372"/>
      <c r="E129" s="2404"/>
      <c r="F129" s="2406"/>
      <c r="G129" s="2404"/>
      <c r="H129" s="2409"/>
      <c r="I129" s="2411"/>
      <c r="J129" s="2414"/>
      <c r="K129" s="2398"/>
      <c r="L129" s="1220"/>
      <c r="M129" s="1220"/>
      <c r="N129" s="1220"/>
      <c r="O129" s="1220"/>
      <c r="P129" s="1220"/>
      <c r="Q129" s="1220"/>
      <c r="R129" s="1220"/>
      <c r="S129" s="266"/>
      <c r="T129" s="266"/>
      <c r="U129" s="266"/>
      <c r="V129" s="266"/>
      <c r="W129" s="1221"/>
      <c r="X129" s="1182"/>
      <c r="Y129" s="1182"/>
      <c r="Z129" s="1182"/>
      <c r="AA129" s="1182"/>
      <c r="AB129" s="1182"/>
      <c r="AC129" s="1182"/>
      <c r="AD129" s="1182"/>
      <c r="AE129" s="1182"/>
      <c r="AF129" s="1182"/>
      <c r="AG129" s="1182"/>
      <c r="AH129" s="1182"/>
      <c r="AI129" s="1182"/>
      <c r="AJ129" s="1182"/>
      <c r="AK129" s="1182"/>
      <c r="AL129" s="1182"/>
      <c r="AM129" s="1182"/>
      <c r="AN129" s="1182"/>
      <c r="AO129" s="1182"/>
      <c r="AP129" s="1182"/>
      <c r="AQ129" s="1182"/>
      <c r="AR129" s="1390">
        <v>0</v>
      </c>
    </row>
    <row r="130" spans="1:44" s="1770" customFormat="1" ht="17.25" customHeight="1">
      <c r="A130" s="258"/>
      <c r="C130" s="257"/>
      <c r="D130" s="2372"/>
      <c r="E130" s="2404"/>
      <c r="F130" s="2407"/>
      <c r="G130" s="2404"/>
      <c r="H130" s="1222"/>
      <c r="I130" s="1223"/>
      <c r="J130" s="1223"/>
      <c r="K130" s="1223"/>
      <c r="L130" s="1223"/>
      <c r="M130" s="1223"/>
      <c r="N130" s="1223"/>
      <c r="O130" s="1223"/>
      <c r="P130" s="1223"/>
      <c r="Q130" s="1223"/>
      <c r="R130" s="1223"/>
      <c r="S130" s="1224"/>
      <c r="T130" s="1224"/>
      <c r="U130" s="1224"/>
      <c r="V130" s="1224"/>
      <c r="W130" s="1225"/>
      <c r="X130" s="1182"/>
      <c r="Y130" s="1182"/>
      <c r="Z130" s="1182"/>
      <c r="AA130" s="1182"/>
      <c r="AB130" s="1182"/>
      <c r="AC130" s="1182"/>
      <c r="AD130" s="1182"/>
      <c r="AE130" s="1182"/>
      <c r="AF130" s="1182"/>
      <c r="AG130" s="1182"/>
      <c r="AH130" s="1182"/>
      <c r="AI130" s="1182"/>
      <c r="AJ130" s="1182"/>
      <c r="AK130" s="1182"/>
      <c r="AL130" s="1182"/>
      <c r="AM130" s="1182"/>
      <c r="AN130" s="1182"/>
      <c r="AO130" s="1182"/>
      <c r="AP130" s="1182"/>
      <c r="AQ130" s="1182"/>
      <c r="AR130" s="1390">
        <v>0</v>
      </c>
    </row>
    <row r="131" spans="1:44" s="1770" customFormat="1" ht="17.25" customHeight="1">
      <c r="A131" s="258"/>
      <c r="C131" s="146"/>
      <c r="D131" s="2396">
        <v>3</v>
      </c>
      <c r="E131" s="2403" t="s">
        <v>293</v>
      </c>
      <c r="F131" s="2405" t="s">
        <v>19</v>
      </c>
      <c r="G131" s="2403"/>
      <c r="H131" s="2408"/>
      <c r="I131" s="2410"/>
      <c r="J131" s="2412"/>
      <c r="K131" s="2397"/>
      <c r="L131" s="2397"/>
      <c r="M131" s="2397"/>
      <c r="N131" s="2399"/>
      <c r="O131" s="2397"/>
      <c r="P131" s="2397"/>
      <c r="Q131" s="2397"/>
      <c r="R131" s="2402"/>
      <c r="S131" s="2397"/>
      <c r="T131" s="1857"/>
      <c r="U131" s="1857"/>
      <c r="V131" s="1859"/>
      <c r="W131" s="1219"/>
      <c r="X131" s="1190"/>
      <c r="Y131" s="1190"/>
      <c r="Z131" s="1190"/>
      <c r="AA131" s="1190"/>
      <c r="AB131" s="1190"/>
      <c r="AC131" s="1190" t="s">
        <v>294</v>
      </c>
      <c r="AD131" s="1190" t="s">
        <v>295</v>
      </c>
      <c r="AE131" s="1190" t="s">
        <v>296</v>
      </c>
      <c r="AF131" s="1190" t="s">
        <v>297</v>
      </c>
      <c r="AG131" s="1190"/>
      <c r="AH131" s="1190" t="str">
        <f>IF($E$131=0,"",$E$131)</f>
        <v>Тариф на подключение (технологическое присоединение) к централизованной системе водоотведения</v>
      </c>
      <c r="AI131" s="1190" t="str">
        <f>IF($G$131=0,"",$G$131)</f>
        <v/>
      </c>
      <c r="AJ131" s="1190" t="str">
        <f>IF($J$131=0,"",$J$131)</f>
        <v/>
      </c>
      <c r="AK131" s="1190" t="str">
        <f>IF($K$131="нет","без дифференциации",IF($N$131=0,"",$N$131))</f>
        <v/>
      </c>
      <c r="AL131" s="1190" t="str">
        <f>IF($O$131="нет","без дифференциации",IF($R$131=0,"",$R$131))</f>
        <v/>
      </c>
      <c r="AM131" s="1190" t="str">
        <f>IF($S$131="нет","без дифференциации",IF($V$131=0,"",$V$131))</f>
        <v/>
      </c>
      <c r="AN131" s="1693">
        <f>$I$131</f>
        <v>0</v>
      </c>
      <c r="AO131" s="1190" t="str">
        <f>$I$131&amp;"."&amp;$M$131</f>
        <v>.</v>
      </c>
      <c r="AP131" s="1189" t="str">
        <f>$I$131&amp;"."&amp;$M$131&amp;"."&amp;$Q$131</f>
        <v>..</v>
      </c>
      <c r="AQ131" s="1189" t="str">
        <f>$I$131&amp;"."&amp;$M$131&amp;"."&amp;$Q$131&amp;"."&amp;$U$131</f>
        <v>...</v>
      </c>
      <c r="AR131" s="1390">
        <v>0</v>
      </c>
    </row>
    <row r="132" spans="1:44" s="1770" customFormat="1" ht="17.25" customHeight="1">
      <c r="A132" s="258"/>
      <c r="C132" s="257"/>
      <c r="D132" s="2396"/>
      <c r="E132" s="2403"/>
      <c r="F132" s="2406"/>
      <c r="G132" s="2403"/>
      <c r="H132" s="2409"/>
      <c r="I132" s="2411"/>
      <c r="J132" s="2413"/>
      <c r="K132" s="2398"/>
      <c r="L132" s="2398"/>
      <c r="M132" s="2398"/>
      <c r="N132" s="2400"/>
      <c r="O132" s="2398"/>
      <c r="P132" s="2398"/>
      <c r="Q132" s="2398"/>
      <c r="R132" s="2401"/>
      <c r="S132" s="2398"/>
      <c r="T132" s="1862"/>
      <c r="U132" s="1862"/>
      <c r="V132" s="1862"/>
      <c r="W132" s="1863"/>
      <c r="X132" s="1189"/>
      <c r="Y132" s="1189"/>
      <c r="Z132" s="1189"/>
      <c r="AA132" s="1189"/>
      <c r="AB132" s="1189"/>
      <c r="AC132" s="1189"/>
      <c r="AD132" s="1189"/>
      <c r="AE132" s="1189"/>
      <c r="AF132" s="1189"/>
      <c r="AG132" s="1189"/>
      <c r="AH132" s="1189"/>
      <c r="AI132" s="1189"/>
      <c r="AJ132" s="1189"/>
      <c r="AK132" s="1189"/>
      <c r="AL132" s="1189"/>
      <c r="AM132" s="1189"/>
      <c r="AN132" s="1189"/>
      <c r="AO132" s="1189"/>
      <c r="AP132" s="1189"/>
      <c r="AQ132" s="1189"/>
      <c r="AR132" s="1390">
        <v>0</v>
      </c>
    </row>
    <row r="133" spans="1:44" s="1770" customFormat="1" ht="17.25" customHeight="1">
      <c r="A133" s="258"/>
      <c r="C133" s="257"/>
      <c r="D133" s="2372"/>
      <c r="E133" s="2404"/>
      <c r="F133" s="2406"/>
      <c r="G133" s="2404"/>
      <c r="H133" s="2409"/>
      <c r="I133" s="2411"/>
      <c r="J133" s="2414"/>
      <c r="K133" s="2398"/>
      <c r="L133" s="2398"/>
      <c r="M133" s="2398"/>
      <c r="N133" s="2401"/>
      <c r="O133" s="2398"/>
      <c r="P133" s="1858"/>
      <c r="Q133" s="1862"/>
      <c r="R133" s="1862"/>
      <c r="S133" s="266"/>
      <c r="T133" s="266"/>
      <c r="U133" s="266"/>
      <c r="V133" s="266"/>
      <c r="W133" s="1863"/>
      <c r="X133" s="1189"/>
      <c r="Y133" s="1189"/>
      <c r="Z133" s="1189"/>
      <c r="AA133" s="1189"/>
      <c r="AB133" s="1189"/>
      <c r="AC133" s="1189"/>
      <c r="AD133" s="1189"/>
      <c r="AE133" s="1189"/>
      <c r="AF133" s="1189"/>
      <c r="AG133" s="1189"/>
      <c r="AH133" s="1189"/>
      <c r="AI133" s="1189"/>
      <c r="AJ133" s="1189"/>
      <c r="AK133" s="1189"/>
      <c r="AL133" s="1189"/>
      <c r="AM133" s="1189"/>
      <c r="AN133" s="1189"/>
      <c r="AO133" s="1189"/>
      <c r="AP133" s="1189"/>
      <c r="AQ133" s="1189"/>
      <c r="AR133" s="1390">
        <v>0</v>
      </c>
    </row>
    <row r="134" spans="1:44" s="1770" customFormat="1" ht="17.25" customHeight="1">
      <c r="A134" s="258"/>
      <c r="C134" s="257"/>
      <c r="D134" s="2372"/>
      <c r="E134" s="2404"/>
      <c r="F134" s="2406"/>
      <c r="G134" s="2404"/>
      <c r="H134" s="2409"/>
      <c r="I134" s="2411"/>
      <c r="J134" s="2414"/>
      <c r="K134" s="2398"/>
      <c r="L134" s="1862"/>
      <c r="M134" s="1862"/>
      <c r="N134" s="1862"/>
      <c r="O134" s="1862"/>
      <c r="P134" s="1862"/>
      <c r="Q134" s="1862"/>
      <c r="R134" s="1862"/>
      <c r="S134" s="266"/>
      <c r="T134" s="266"/>
      <c r="U134" s="266"/>
      <c r="V134" s="266"/>
      <c r="W134" s="1863"/>
      <c r="X134" s="1189"/>
      <c r="Y134" s="1189"/>
      <c r="Z134" s="1189"/>
      <c r="AA134" s="1189"/>
      <c r="AB134" s="1189"/>
      <c r="AC134" s="1189"/>
      <c r="AD134" s="1189"/>
      <c r="AE134" s="1189"/>
      <c r="AF134" s="1189"/>
      <c r="AG134" s="1189"/>
      <c r="AH134" s="1189"/>
      <c r="AI134" s="1189"/>
      <c r="AJ134" s="1189"/>
      <c r="AK134" s="1189"/>
      <c r="AL134" s="1189"/>
      <c r="AM134" s="1189"/>
      <c r="AN134" s="1189"/>
      <c r="AO134" s="1189"/>
      <c r="AP134" s="1189"/>
      <c r="AQ134" s="1189"/>
      <c r="AR134" s="1390">
        <v>0</v>
      </c>
    </row>
    <row r="135" spans="1:44" s="1770" customFormat="1" ht="17.25" customHeight="1">
      <c r="A135" s="258"/>
      <c r="C135" s="257"/>
      <c r="D135" s="2372"/>
      <c r="E135" s="2404"/>
      <c r="F135" s="2407"/>
      <c r="G135" s="2404"/>
      <c r="H135" s="1222"/>
      <c r="I135" s="1860"/>
      <c r="J135" s="1860"/>
      <c r="K135" s="1860"/>
      <c r="L135" s="1860"/>
      <c r="M135" s="1860"/>
      <c r="N135" s="1860"/>
      <c r="O135" s="1860"/>
      <c r="P135" s="1860"/>
      <c r="Q135" s="1860"/>
      <c r="R135" s="1860"/>
      <c r="S135" s="1224"/>
      <c r="T135" s="1224"/>
      <c r="U135" s="1224"/>
      <c r="V135" s="1224"/>
      <c r="W135" s="1861"/>
      <c r="X135" s="1189"/>
      <c r="Y135" s="1189"/>
      <c r="Z135" s="1189"/>
      <c r="AA135" s="1189"/>
      <c r="AB135" s="1189"/>
      <c r="AC135" s="1189"/>
      <c r="AD135" s="1189"/>
      <c r="AE135" s="1189"/>
      <c r="AF135" s="1189"/>
      <c r="AG135" s="1189"/>
      <c r="AH135" s="1189"/>
      <c r="AI135" s="1189"/>
      <c r="AJ135" s="1189"/>
      <c r="AK135" s="1189"/>
      <c r="AL135" s="1189"/>
      <c r="AM135" s="1189"/>
      <c r="AN135" s="1189"/>
      <c r="AO135" s="1189"/>
      <c r="AP135" s="1189"/>
      <c r="AQ135" s="1189"/>
      <c r="AR135" s="1390">
        <v>0</v>
      </c>
    </row>
    <row r="136" spans="1:44" ht="11.45" customHeight="1">
      <c r="AR136" s="43">
        <v>11</v>
      </c>
    </row>
    <row r="137" spans="1:44" ht="11.45" customHeight="1">
      <c r="AR137" s="43">
        <v>11</v>
      </c>
    </row>
    <row r="138" spans="1:44" ht="11.45" customHeight="1">
      <c r="AR138" s="43">
        <v>11</v>
      </c>
    </row>
    <row r="139" spans="1:44" ht="11.45" customHeight="1">
      <c r="E139" s="1273"/>
      <c r="AR139" s="43">
        <v>11</v>
      </c>
    </row>
    <row r="140" spans="1:44" ht="11.45" customHeight="1">
      <c r="E140" s="1273"/>
      <c r="AR140" s="43">
        <v>11</v>
      </c>
    </row>
    <row r="141" spans="1:44" ht="11.45" customHeight="1">
      <c r="E141" s="1273"/>
      <c r="AR141" s="43">
        <v>11</v>
      </c>
    </row>
    <row r="142" spans="1:44" ht="11.45" customHeight="1">
      <c r="E142" s="1273"/>
      <c r="AR142" s="43">
        <v>11</v>
      </c>
    </row>
    <row r="143" spans="1:44" ht="11.45" customHeight="1">
      <c r="E143" s="1273"/>
      <c r="AR143" s="43">
        <v>11</v>
      </c>
    </row>
    <row r="144" spans="1:44" ht="11.45" customHeight="1">
      <c r="E144" s="1273"/>
      <c r="AR144" s="43">
        <v>11</v>
      </c>
    </row>
    <row r="145" spans="1:44" ht="11.45" customHeight="1">
      <c r="E145" s="1273"/>
      <c r="AR145" s="43">
        <v>11</v>
      </c>
    </row>
    <row r="146" spans="1:44" ht="11.25" hidden="1" customHeight="1">
      <c r="A146" s="90" t="s">
        <v>83</v>
      </c>
      <c r="B146" s="90">
        <v>0</v>
      </c>
      <c r="C146" s="43">
        <v>3</v>
      </c>
      <c r="D146" s="43">
        <v>6</v>
      </c>
      <c r="E146" s="43">
        <v>42</v>
      </c>
      <c r="F146" s="1206">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2">
        <v>0</v>
      </c>
      <c r="Z146" s="1182">
        <v>0</v>
      </c>
      <c r="AA146" s="1182">
        <v>0</v>
      </c>
      <c r="AB146" s="1182">
        <v>0</v>
      </c>
      <c r="AC146" s="1182">
        <v>0</v>
      </c>
      <c r="AD146" s="1182">
        <v>0</v>
      </c>
      <c r="AE146" s="1182">
        <v>0</v>
      </c>
      <c r="AF146" s="1182">
        <v>0</v>
      </c>
      <c r="AG146" s="1182">
        <v>0</v>
      </c>
      <c r="AH146" s="1182">
        <v>0</v>
      </c>
      <c r="AI146" s="1182">
        <v>0</v>
      </c>
      <c r="AJ146" s="1182">
        <v>0</v>
      </c>
      <c r="AK146" s="1182">
        <v>0</v>
      </c>
      <c r="AL146" s="1182">
        <v>0</v>
      </c>
      <c r="AM146" s="1182">
        <v>0</v>
      </c>
      <c r="AN146" s="1182">
        <v>0</v>
      </c>
      <c r="AO146" s="1182">
        <v>0</v>
      </c>
      <c r="AP146" s="1182">
        <v>0</v>
      </c>
      <c r="AQ146" s="1182">
        <v>0</v>
      </c>
      <c r="AR146" s="43">
        <v>11</v>
      </c>
    </row>
  </sheetData>
  <sheetProtection formatColumns="0" formatRows="0" insertRows="0" deleteColumns="0" deleteRows="0" sort="0" autoFilter="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AF30"/>
  <sheetViews>
    <sheetView showGridLines="0" zoomScale="90" workbookViewId="0">
      <pane xSplit="8" ySplit="18" topLeftCell="S19" activePane="bottomRight" state="frozen"/>
      <selection pane="topRight" activeCell="I1" sqref="I1"/>
      <selection pane="bottomLeft" activeCell="A19" sqref="A19"/>
      <selection pane="bottomRight" activeCell="S8" sqref="S8"/>
    </sheetView>
  </sheetViews>
  <sheetFormatPr defaultColWidth="10.5703125" defaultRowHeight="15" customHeight="1"/>
  <cols>
    <col min="1" max="1" width="9.140625" style="1555" hidden="1" customWidth="1"/>
    <col min="2" max="2" width="9.140625" style="1558" hidden="1" customWidth="1"/>
    <col min="3" max="3" width="4" style="619" customWidth="1"/>
    <col min="4" max="4" width="6" style="1558" customWidth="1"/>
    <col min="5" max="5" width="47" style="1558" customWidth="1"/>
    <col min="6" max="6" width="9" style="1558" customWidth="1"/>
    <col min="7" max="7" width="25.7109375" style="1558" hidden="1" customWidth="1"/>
    <col min="8" max="8" width="34" style="1558" hidden="1" customWidth="1"/>
    <col min="9" max="9" width="25.7109375" style="1558" customWidth="1"/>
    <col min="10" max="10" width="33" style="1558" customWidth="1"/>
    <col min="11" max="11" width="25.7109375" style="1558" customWidth="1"/>
    <col min="12" max="12" width="34" style="1558" customWidth="1"/>
    <col min="13" max="13" width="25.7109375" style="1558" customWidth="1"/>
    <col min="14" max="14" width="34" style="1558" customWidth="1"/>
    <col min="15" max="15" width="25.7109375" style="1558" customWidth="1"/>
    <col min="16" max="16" width="34" style="1558" customWidth="1"/>
    <col min="17" max="17" width="25.7109375" style="1558" customWidth="1"/>
    <col min="18" max="18" width="34" style="1558" customWidth="1"/>
    <col min="19" max="19" width="25.7109375" style="1558" customWidth="1"/>
    <col min="20" max="20" width="34" style="1558" customWidth="1"/>
    <col min="21" max="21" width="50" style="1289" customWidth="1"/>
    <col min="22" max="30" width="10" style="1558" customWidth="1"/>
    <col min="31" max="31" width="10" style="611" customWidth="1"/>
    <col min="32" max="32" width="10.5703125" style="1558" hidden="1"/>
  </cols>
  <sheetData>
    <row r="1" spans="1:32" s="1289" customFormat="1" ht="22.5" hidden="1" customHeight="1">
      <c r="C1" s="608"/>
      <c r="G1" s="353">
        <v>4</v>
      </c>
      <c r="I1" s="353">
        <v>4</v>
      </c>
      <c r="K1" s="1289">
        <v>4</v>
      </c>
      <c r="M1" s="1289">
        <v>4</v>
      </c>
      <c r="O1" s="1289">
        <v>4</v>
      </c>
      <c r="Q1" s="1289" t="s">
        <v>91</v>
      </c>
      <c r="S1" s="1289">
        <v>4</v>
      </c>
      <c r="AE1" s="356"/>
      <c r="AF1" s="353" t="s">
        <v>14</v>
      </c>
    </row>
    <row r="2" spans="1:32" s="1558" customFormat="1" ht="15" hidden="1" customHeight="1">
      <c r="A2" s="298"/>
      <c r="C2" s="113"/>
      <c r="D2" s="283"/>
      <c r="E2" s="609"/>
      <c r="F2" s="458"/>
      <c r="G2" s="552"/>
      <c r="H2" s="552"/>
      <c r="I2" s="552"/>
      <c r="J2" s="552"/>
      <c r="K2" s="552"/>
      <c r="L2" s="552"/>
      <c r="M2" s="552"/>
      <c r="N2" s="552"/>
      <c r="O2" s="552"/>
      <c r="P2" s="552"/>
      <c r="Q2" s="552"/>
      <c r="R2" s="552"/>
      <c r="S2" s="552"/>
      <c r="T2" s="552"/>
      <c r="AE2" s="610"/>
      <c r="AF2" s="445">
        <v>0</v>
      </c>
    </row>
    <row r="3" spans="1:32" s="1289" customFormat="1" ht="15" hidden="1" customHeight="1">
      <c r="C3" s="608"/>
      <c r="AE3" s="356"/>
      <c r="AF3" s="353">
        <v>0</v>
      </c>
    </row>
    <row r="4" spans="1:32" ht="15.75" customHeight="1">
      <c r="C4" s="113"/>
      <c r="D4" s="445"/>
      <c r="E4" s="445"/>
      <c r="F4" s="445"/>
      <c r="G4" s="445"/>
      <c r="H4" s="445"/>
      <c r="I4" s="445"/>
      <c r="J4" s="445"/>
      <c r="AF4" s="441">
        <v>15</v>
      </c>
    </row>
    <row r="5" spans="1:32" ht="66" customHeight="1">
      <c r="C5" s="113"/>
      <c r="D5" s="2490" t="s">
        <v>1361</v>
      </c>
      <c r="E5" s="2490"/>
      <c r="F5" s="2490"/>
      <c r="G5" s="2490"/>
      <c r="H5" s="2490"/>
      <c r="I5" s="2490"/>
      <c r="J5" s="2490"/>
      <c r="K5" s="2017"/>
      <c r="L5" s="2017"/>
      <c r="M5" s="2017"/>
      <c r="N5" s="2017"/>
      <c r="O5" s="2017"/>
      <c r="P5" s="2017"/>
      <c r="Q5" s="2017"/>
      <c r="R5" s="2017"/>
      <c r="S5" s="2017"/>
      <c r="T5" s="2017"/>
      <c r="AF5" s="441">
        <v>63</v>
      </c>
    </row>
    <row r="6" spans="1:32" ht="15.75" customHeight="1">
      <c r="C6" s="113"/>
      <c r="D6" s="2436" t="str">
        <f>IF(org=0,"Не определено",org)</f>
        <v>ПАО "ТГК-2"</v>
      </c>
      <c r="E6" s="2436"/>
      <c r="F6" s="2436"/>
      <c r="G6" s="2436"/>
      <c r="H6" s="2436"/>
      <c r="I6" s="2436"/>
      <c r="J6" s="2436"/>
      <c r="K6" s="2018"/>
      <c r="L6" s="2018"/>
      <c r="M6" s="2018"/>
      <c r="N6" s="2018"/>
      <c r="O6" s="2018"/>
      <c r="P6" s="2018"/>
      <c r="Q6" s="2018"/>
      <c r="R6" s="2018"/>
      <c r="S6" s="2018"/>
      <c r="T6" s="2018"/>
      <c r="U6" s="473"/>
      <c r="AF6" s="441">
        <v>15</v>
      </c>
    </row>
    <row r="7" spans="1:32" ht="15.75" customHeight="1">
      <c r="C7" s="113"/>
      <c r="D7" s="687"/>
      <c r="E7" s="445"/>
      <c r="F7" s="445"/>
      <c r="G7" s="473">
        <v>22</v>
      </c>
      <c r="I7" s="473">
        <v>1</v>
      </c>
      <c r="J7" s="687"/>
      <c r="K7" s="1289" t="s">
        <v>22</v>
      </c>
      <c r="M7" s="1289" t="s">
        <v>22</v>
      </c>
      <c r="O7" s="1289" t="s">
        <v>22</v>
      </c>
      <c r="Q7" s="1289" t="s">
        <v>22</v>
      </c>
      <c r="S7" s="1289" t="s">
        <v>22</v>
      </c>
      <c r="AF7" s="441">
        <v>15</v>
      </c>
    </row>
    <row r="8" spans="1:32" s="1558" customFormat="1" ht="1.1499999999999999" customHeight="1">
      <c r="A8" s="692"/>
      <c r="C8" s="113"/>
      <c r="D8" s="445"/>
      <c r="E8" s="445"/>
      <c r="F8" s="445"/>
      <c r="G8" s="473"/>
      <c r="H8" s="687"/>
      <c r="I8" s="473" t="s">
        <v>129</v>
      </c>
      <c r="J8" s="687"/>
      <c r="K8" s="1289" t="s">
        <v>135</v>
      </c>
      <c r="L8" s="687"/>
      <c r="M8" s="1289" t="s">
        <v>137</v>
      </c>
      <c r="N8" s="687"/>
      <c r="O8" s="1289" t="s">
        <v>140</v>
      </c>
      <c r="P8" s="687"/>
      <c r="Q8" s="1289" t="s">
        <v>139</v>
      </c>
      <c r="R8" s="687"/>
      <c r="S8" s="1289" t="s">
        <v>133</v>
      </c>
      <c r="T8" s="687"/>
      <c r="U8" s="353"/>
      <c r="AE8" s="611"/>
      <c r="AF8" s="691">
        <v>1</v>
      </c>
    </row>
    <row r="9" spans="1:32" ht="15.75" customHeight="1">
      <c r="C9" s="113"/>
      <c r="D9" s="647"/>
      <c r="E9" s="2591" t="s">
        <v>119</v>
      </c>
      <c r="F9" s="2592"/>
      <c r="G9" s="2632" t="str">
        <f>IF(G8="","",INDEX(DIFFERENTIATION_UNMERGE_VD,MATCH(G8,DIFFERENTIATION_ID_DIFF,0)))</f>
        <v/>
      </c>
      <c r="H9" s="2633"/>
      <c r="I9" s="2632" t="str">
        <f>IF(I8="","",INDEX(DIFFERENTIATION_UNMERGE_VD,MATCH(I8,DIFFERENTIATION_ID_DIFF,0)))</f>
        <v>Производство тепловой энергии. Комбинированная выработка с уст. мощностью производства электрической энергии 25 МВт и более</v>
      </c>
      <c r="J9" s="2633"/>
      <c r="K9" s="2632" t="str">
        <f>IF(K8="","",INDEX(DIFFERENTIATION_UNMERGE_VD,MATCH(K8,DIFFERENTIATION_ID_DIFF,0)))</f>
        <v>Производство тепловой энергии. Некомбинированная выработка</v>
      </c>
      <c r="L9" s="2633"/>
      <c r="M9" s="2632" t="str">
        <f>IF(M8="","",INDEX(DIFFERENTIATION_UNMERGE_VD,MATCH(M8,DIFFERENTIATION_ID_DIFF,0)))</f>
        <v>Передача. Тепловая энергия; Сбыт. Тепловая энергия</v>
      </c>
      <c r="N9" s="2633"/>
      <c r="O9" s="2632" t="str">
        <f>IF(O8="","",INDEX(DIFFERENTIATION_UNMERGE_VD,MATCH(O8,DIFFERENTIATION_ID_DIFF,0)))</f>
        <v>Производство. Теплоноситель; Сбыт. Теплоноситель</v>
      </c>
      <c r="P9" s="2633"/>
      <c r="Q9" s="2632" t="str">
        <f>IF(Q8="","",INDEX(DIFFERENTIATION_UNMERGE_VD,MATCH(Q8,DIFFERENTIATION_ID_DIFF,0)))</f>
        <v>Передача. Тепловая энергия; Сбыт. Тепловая энергия</v>
      </c>
      <c r="R9" s="2633"/>
      <c r="S9" s="2632" t="str">
        <f>IF(S8="","",INDEX(DIFFERENTIATION_UNMERGE_VD,MATCH(S8,DIFFERENTIATION_ID_DIFF,0)))</f>
        <v>Производство тепловой энергии. Комбинированная выработка с уст. мощностью производства электрической энергии 25 МВт и более</v>
      </c>
      <c r="T9" s="2633"/>
      <c r="U9" s="2435" t="s">
        <v>320</v>
      </c>
      <c r="AF9" s="441">
        <v>15</v>
      </c>
    </row>
    <row r="10" spans="1:32" s="1558" customFormat="1" ht="15.75" customHeight="1">
      <c r="A10" s="692"/>
      <c r="C10" s="113"/>
      <c r="D10" s="647"/>
      <c r="E10" s="2591" t="s">
        <v>581</v>
      </c>
      <c r="F10" s="2592"/>
      <c r="G10" s="2632" t="str">
        <f>IF(G8="","",INDEX(DIFFERENTIATION_UNMERGE_AREA,MATCH(G8,DIFFERENTIATION_ID_DIFF,0)))</f>
        <v/>
      </c>
      <c r="H10" s="2633"/>
      <c r="I10" s="2632" t="str">
        <f>IF(I8="","",INDEX(DIFFERENTIATION_UNMERGE_AREA,MATCH(I8,DIFFERENTIATION_ID_DIFF,0)))</f>
        <v>Территория 1</v>
      </c>
      <c r="J10" s="2633"/>
      <c r="K10" s="2632" t="str">
        <f>IF(K8="","",INDEX(DIFFERENTIATION_UNMERGE_AREA,MATCH(K8,DIFFERENTIATION_ID_DIFF,0)))</f>
        <v>Территория 1</v>
      </c>
      <c r="L10" s="2633"/>
      <c r="M10" s="2632" t="str">
        <f>IF(M8="","",INDEX(DIFFERENTIATION_UNMERGE_AREA,MATCH(M8,DIFFERENTIATION_ID_DIFF,0)))</f>
        <v>Территория 1</v>
      </c>
      <c r="N10" s="2633"/>
      <c r="O10" s="2632" t="str">
        <f>IF(O8="","",INDEX(DIFFERENTIATION_UNMERGE_AREA,MATCH(O8,DIFFERENTIATION_ID_DIFF,0)))</f>
        <v>Территория 2</v>
      </c>
      <c r="P10" s="2633"/>
      <c r="Q10" s="2632" t="str">
        <f>IF(Q8="","",INDEX(DIFFERENTIATION_UNMERGE_AREA,MATCH(Q8,DIFFERENTIATION_ID_DIFF,0)))</f>
        <v>Территория 2</v>
      </c>
      <c r="R10" s="2633"/>
      <c r="S10" s="2632" t="str">
        <f>IF(S8="","",INDEX(DIFFERENTIATION_UNMERGE_AREA,MATCH(S8,DIFFERENTIATION_ID_DIFF,0)))</f>
        <v>Территория 2</v>
      </c>
      <c r="T10" s="2633"/>
      <c r="U10" s="2456"/>
      <c r="AE10" s="611"/>
      <c r="AF10" s="691">
        <v>15</v>
      </c>
    </row>
    <row r="11" spans="1:32" s="1558" customFormat="1" ht="15.75" customHeight="1">
      <c r="A11" s="692"/>
      <c r="C11" s="113"/>
      <c r="D11" s="647"/>
      <c r="E11" s="2591" t="s">
        <v>582</v>
      </c>
      <c r="F11" s="2592"/>
      <c r="G11" s="2632" t="str">
        <f>IF(G8="","",INDEX(DIFFERENTIATION_UNMERGE_SYSTEM,MATCH(G8,DIFFERENTIATION_ID_DIFF,0)))</f>
        <v/>
      </c>
      <c r="H11" s="2633"/>
      <c r="I11" s="2632" t="str">
        <f>IF(I8="","",INDEX(DIFFERENTIATION_UNMERGE_SYSTEM,MATCH(I8,DIFFERENTIATION_ID_DIFF,0)))</f>
        <v>без дифференциации</v>
      </c>
      <c r="J11" s="2633"/>
      <c r="K11" s="2632" t="str">
        <f>IF(K8="","",INDEX(DIFFERENTIATION_UNMERGE_SYSTEM,MATCH(K8,DIFFERENTIATION_ID_DIFF,0)))</f>
        <v>без дифференциации</v>
      </c>
      <c r="L11" s="2633"/>
      <c r="M11" s="2632" t="str">
        <f>IF(M8="","",INDEX(DIFFERENTIATION_UNMERGE_SYSTEM,MATCH(M8,DIFFERENTIATION_ID_DIFF,0)))</f>
        <v>без дифференциации</v>
      </c>
      <c r="N11" s="2633"/>
      <c r="O11" s="2632" t="str">
        <f>IF(O8="","",INDEX(DIFFERENTIATION_UNMERGE_SYSTEM,MATCH(O8,DIFFERENTIATION_ID_DIFF,0)))</f>
        <v>без дифференциации</v>
      </c>
      <c r="P11" s="2633"/>
      <c r="Q11" s="2632" t="str">
        <f>IF(Q8="","",INDEX(DIFFERENTIATION_UNMERGE_SYSTEM,MATCH(Q8,DIFFERENTIATION_ID_DIFF,0)))</f>
        <v>без дифференциации</v>
      </c>
      <c r="R11" s="2633"/>
      <c r="S11" s="2632" t="str">
        <f>IF(S8="","",INDEX(DIFFERENTIATION_UNMERGE_SYSTEM,MATCH(S8,DIFFERENTIATION_ID_DIFF,0)))</f>
        <v>без дифференциации</v>
      </c>
      <c r="T11" s="2633"/>
      <c r="U11" s="2456"/>
      <c r="AE11" s="611"/>
      <c r="AF11" s="691">
        <v>15</v>
      </c>
    </row>
    <row r="12" spans="1:32" s="1558" customFormat="1" ht="15.75" customHeight="1">
      <c r="A12" s="692"/>
      <c r="C12" s="113"/>
      <c r="D12" s="2593" t="s">
        <v>319</v>
      </c>
      <c r="E12" s="2594"/>
      <c r="F12" s="2594"/>
      <c r="G12" s="815"/>
      <c r="H12" s="815"/>
      <c r="I12" s="815"/>
      <c r="J12" s="815"/>
      <c r="K12" s="2027"/>
      <c r="L12" s="2027"/>
      <c r="M12" s="2027"/>
      <c r="N12" s="2027"/>
      <c r="O12" s="2027"/>
      <c r="P12" s="2027"/>
      <c r="Q12" s="2027"/>
      <c r="R12" s="2027"/>
      <c r="S12" s="2027"/>
      <c r="T12" s="2027"/>
      <c r="U12" s="2456"/>
      <c r="AE12" s="611"/>
      <c r="AF12" s="691">
        <v>15</v>
      </c>
    </row>
    <row r="13" spans="1:32" ht="35.65" customHeight="1">
      <c r="C13" s="113"/>
      <c r="D13" s="734" t="s">
        <v>89</v>
      </c>
      <c r="E13" s="736" t="s">
        <v>321</v>
      </c>
      <c r="F13" s="736" t="s">
        <v>583</v>
      </c>
      <c r="G13" s="737" t="s">
        <v>322</v>
      </c>
      <c r="H13" s="736" t="s">
        <v>409</v>
      </c>
      <c r="I13" s="737" t="s">
        <v>322</v>
      </c>
      <c r="J13" s="736" t="s">
        <v>409</v>
      </c>
      <c r="K13" s="2020" t="s">
        <v>322</v>
      </c>
      <c r="L13" s="2024" t="s">
        <v>409</v>
      </c>
      <c r="M13" s="2020" t="s">
        <v>322</v>
      </c>
      <c r="N13" s="2024" t="s">
        <v>409</v>
      </c>
      <c r="O13" s="2020" t="s">
        <v>322</v>
      </c>
      <c r="P13" s="2024" t="s">
        <v>409</v>
      </c>
      <c r="Q13" s="2020" t="s">
        <v>322</v>
      </c>
      <c r="R13" s="2024" t="s">
        <v>409</v>
      </c>
      <c r="S13" s="2020" t="s">
        <v>322</v>
      </c>
      <c r="T13" s="2024" t="s">
        <v>409</v>
      </c>
      <c r="U13" s="2485"/>
      <c r="AF13" s="441">
        <v>34</v>
      </c>
    </row>
    <row r="14" spans="1:32" ht="15" hidden="1" customHeight="1">
      <c r="C14" s="113"/>
      <c r="D14" s="529" t="s">
        <v>100</v>
      </c>
      <c r="E14" s="529" t="s">
        <v>103</v>
      </c>
      <c r="F14" s="529" t="s">
        <v>91</v>
      </c>
      <c r="G14" s="595" t="str">
        <f>G1&amp;".1"</f>
        <v>4.1</v>
      </c>
      <c r="H14" s="595"/>
      <c r="I14" s="595" t="str">
        <f>I1&amp;".1"</f>
        <v>4.1</v>
      </c>
      <c r="J14" s="595"/>
      <c r="K14" s="619" t="str">
        <f>K1&amp;".1"</f>
        <v>4.1</v>
      </c>
      <c r="L14" s="619"/>
      <c r="M14" s="619" t="str">
        <f>M1&amp;".1"</f>
        <v>4.1</v>
      </c>
      <c r="N14" s="619"/>
      <c r="O14" s="619" t="str">
        <f>O1&amp;".1"</f>
        <v>4.1</v>
      </c>
      <c r="P14" s="619"/>
      <c r="Q14" s="619" t="str">
        <f>Q1&amp;".1"</f>
        <v>3.1</v>
      </c>
      <c r="R14" s="619"/>
      <c r="S14" s="619" t="str">
        <f>S1&amp;".1"</f>
        <v>4.1</v>
      </c>
      <c r="T14" s="619"/>
      <c r="U14" s="226"/>
      <c r="AF14" s="441">
        <v>0</v>
      </c>
    </row>
    <row r="15" spans="1:32" ht="22.5" hidden="1" customHeight="1">
      <c r="A15" s="441"/>
      <c r="C15" s="462"/>
      <c r="D15" s="457">
        <v>1</v>
      </c>
      <c r="E15" s="613" t="s">
        <v>972</v>
      </c>
      <c r="F15" s="457" t="s">
        <v>973</v>
      </c>
      <c r="G15" s="614"/>
      <c r="H15" s="614"/>
      <c r="I15" s="614"/>
      <c r="J15" s="614"/>
      <c r="K15" s="614"/>
      <c r="L15" s="614"/>
      <c r="M15" s="614"/>
      <c r="N15" s="614"/>
      <c r="O15" s="614"/>
      <c r="P15" s="614"/>
      <c r="Q15" s="614"/>
      <c r="R15" s="614"/>
      <c r="S15" s="614"/>
      <c r="T15" s="614"/>
      <c r="U15" s="226" t="s">
        <v>974</v>
      </c>
      <c r="AF15" s="441">
        <v>0</v>
      </c>
    </row>
    <row r="16" spans="1:32" ht="22.5" hidden="1" customHeight="1">
      <c r="A16" s="441"/>
      <c r="C16" s="462"/>
      <c r="D16" s="457">
        <v>2</v>
      </c>
      <c r="E16" s="216" t="s">
        <v>975</v>
      </c>
      <c r="F16" s="457" t="s">
        <v>976</v>
      </c>
      <c r="G16" s="614"/>
      <c r="H16" s="614"/>
      <c r="I16" s="614"/>
      <c r="J16" s="614"/>
      <c r="K16" s="614"/>
      <c r="L16" s="614"/>
      <c r="M16" s="614"/>
      <c r="N16" s="614"/>
      <c r="O16" s="614"/>
      <c r="P16" s="614"/>
      <c r="Q16" s="614"/>
      <c r="R16" s="614"/>
      <c r="S16" s="614"/>
      <c r="T16" s="614"/>
      <c r="U16" s="226" t="s">
        <v>977</v>
      </c>
      <c r="AF16" s="441">
        <v>0</v>
      </c>
    </row>
    <row r="17" spans="1:32" ht="123.75" hidden="1" customHeight="1">
      <c r="A17" s="441"/>
      <c r="C17" s="462"/>
      <c r="D17" s="457">
        <v>3</v>
      </c>
      <c r="E17" s="216" t="s">
        <v>1362</v>
      </c>
      <c r="F17" s="457" t="s">
        <v>325</v>
      </c>
      <c r="G17" s="614"/>
      <c r="H17" s="614"/>
      <c r="I17" s="614"/>
      <c r="J17" s="614"/>
      <c r="K17" s="614"/>
      <c r="L17" s="614"/>
      <c r="M17" s="614"/>
      <c r="N17" s="614"/>
      <c r="O17" s="614"/>
      <c r="P17" s="614"/>
      <c r="Q17" s="614"/>
      <c r="R17" s="614"/>
      <c r="S17" s="614"/>
      <c r="T17" s="614"/>
      <c r="U17" s="226" t="s">
        <v>1363</v>
      </c>
      <c r="AF17" s="441">
        <v>0</v>
      </c>
    </row>
    <row r="18" spans="1:32" ht="48.2" customHeight="1">
      <c r="A18" s="441"/>
      <c r="C18" s="462"/>
      <c r="D18" s="457">
        <v>3</v>
      </c>
      <c r="E18" s="216" t="s">
        <v>978</v>
      </c>
      <c r="F18" s="457" t="s">
        <v>325</v>
      </c>
      <c r="G18" s="738" t="s">
        <v>325</v>
      </c>
      <c r="H18" s="739" t="s">
        <v>325</v>
      </c>
      <c r="I18" s="457" t="s">
        <v>325</v>
      </c>
      <c r="J18" s="514" t="s">
        <v>325</v>
      </c>
      <c r="K18" s="2024" t="s">
        <v>325</v>
      </c>
      <c r="L18" s="2019" t="s">
        <v>325</v>
      </c>
      <c r="M18" s="2024" t="s">
        <v>325</v>
      </c>
      <c r="N18" s="2019" t="s">
        <v>325</v>
      </c>
      <c r="O18" s="2024" t="s">
        <v>325</v>
      </c>
      <c r="P18" s="2019" t="s">
        <v>325</v>
      </c>
      <c r="Q18" s="2024" t="s">
        <v>325</v>
      </c>
      <c r="R18" s="2019" t="s">
        <v>325</v>
      </c>
      <c r="S18" s="2024" t="s">
        <v>325</v>
      </c>
      <c r="T18" s="2019" t="s">
        <v>325</v>
      </c>
      <c r="U18" s="226" t="s">
        <v>1364</v>
      </c>
      <c r="AF18" s="441">
        <v>46</v>
      </c>
    </row>
    <row r="19" spans="1:32" ht="35.65" customHeight="1">
      <c r="A19" s="441"/>
      <c r="C19" s="462"/>
      <c r="D19" s="475" t="s">
        <v>343</v>
      </c>
      <c r="E19" s="495" t="s">
        <v>980</v>
      </c>
      <c r="F19" s="457" t="s">
        <v>981</v>
      </c>
      <c r="G19" s="746"/>
      <c r="H19" s="45"/>
      <c r="I19" s="746"/>
      <c r="J19" s="747"/>
      <c r="K19" s="746"/>
      <c r="L19" s="2040"/>
      <c r="M19" s="746"/>
      <c r="N19" s="2040"/>
      <c r="O19" s="746"/>
      <c r="P19" s="2040"/>
      <c r="Q19" s="746"/>
      <c r="R19" s="2040"/>
      <c r="S19" s="746"/>
      <c r="T19" s="2040"/>
      <c r="U19" s="615"/>
      <c r="AF19" s="441">
        <v>34</v>
      </c>
    </row>
    <row r="20" spans="1:32" ht="35.65" customHeight="1">
      <c r="A20" s="441"/>
      <c r="C20" s="462"/>
      <c r="D20" s="1807" t="s">
        <v>351</v>
      </c>
      <c r="E20" s="495" t="s">
        <v>982</v>
      </c>
      <c r="F20" s="457" t="s">
        <v>983</v>
      </c>
      <c r="G20" s="746"/>
      <c r="H20" s="45"/>
      <c r="I20" s="746"/>
      <c r="J20" s="45"/>
      <c r="K20" s="746"/>
      <c r="L20" s="2040"/>
      <c r="M20" s="746"/>
      <c r="N20" s="2040"/>
      <c r="O20" s="746"/>
      <c r="P20" s="2040"/>
      <c r="Q20" s="746"/>
      <c r="R20" s="2040"/>
      <c r="S20" s="746"/>
      <c r="T20" s="2040"/>
      <c r="U20" s="615"/>
      <c r="AF20" s="441">
        <v>34</v>
      </c>
    </row>
    <row r="21" spans="1:32" ht="48.2" customHeight="1">
      <c r="A21" s="441"/>
      <c r="C21" s="462"/>
      <c r="D21" s="1807" t="s">
        <v>353</v>
      </c>
      <c r="E21" s="495" t="s">
        <v>984</v>
      </c>
      <c r="F21" s="457" t="s">
        <v>596</v>
      </c>
      <c r="G21" s="616"/>
      <c r="H21" s="45"/>
      <c r="I21" s="616"/>
      <c r="J21" s="45"/>
      <c r="K21" s="616"/>
      <c r="L21" s="2040"/>
      <c r="M21" s="616"/>
      <c r="N21" s="2040"/>
      <c r="O21" s="616"/>
      <c r="P21" s="2040"/>
      <c r="Q21" s="616"/>
      <c r="R21" s="2040"/>
      <c r="S21" s="616"/>
      <c r="T21" s="2040"/>
      <c r="U21" s="615"/>
      <c r="AF21" s="441">
        <v>46</v>
      </c>
    </row>
    <row r="22" spans="1:32" ht="67.5" hidden="1" customHeight="1">
      <c r="A22" s="441"/>
      <c r="C22" s="462"/>
      <c r="D22" s="457">
        <v>5</v>
      </c>
      <c r="E22" s="216" t="s">
        <v>1365</v>
      </c>
      <c r="F22" s="457" t="s">
        <v>575</v>
      </c>
      <c r="G22" s="617"/>
      <c r="H22" s="618"/>
      <c r="I22" s="617"/>
      <c r="J22" s="618"/>
      <c r="K22" s="617"/>
      <c r="L22" s="1362"/>
      <c r="M22" s="617"/>
      <c r="N22" s="1362"/>
      <c r="O22" s="617"/>
      <c r="P22" s="1362"/>
      <c r="Q22" s="617"/>
      <c r="R22" s="1362"/>
      <c r="S22" s="617"/>
      <c r="T22" s="1362"/>
      <c r="U22" s="226" t="s">
        <v>1366</v>
      </c>
      <c r="AF22" s="441">
        <v>0</v>
      </c>
    </row>
    <row r="23" spans="1:32" ht="33.75" hidden="1" customHeight="1">
      <c r="C23" s="387"/>
      <c r="D23" s="457">
        <v>6</v>
      </c>
      <c r="E23" s="216" t="s">
        <v>1367</v>
      </c>
      <c r="F23" s="457" t="s">
        <v>1368</v>
      </c>
      <c r="G23" s="617"/>
      <c r="H23" s="617"/>
      <c r="I23" s="617"/>
      <c r="J23" s="617"/>
      <c r="K23" s="617"/>
      <c r="L23" s="617"/>
      <c r="M23" s="617"/>
      <c r="N23" s="617"/>
      <c r="O23" s="617"/>
      <c r="P23" s="617"/>
      <c r="Q23" s="617"/>
      <c r="R23" s="617"/>
      <c r="S23" s="617"/>
      <c r="T23" s="617"/>
      <c r="U23" s="226" t="s">
        <v>1369</v>
      </c>
      <c r="AF23" s="441">
        <v>0</v>
      </c>
    </row>
    <row r="24" spans="1:32" ht="15.75" customHeight="1">
      <c r="AF24" s="441">
        <v>15</v>
      </c>
    </row>
    <row r="25" spans="1:32" ht="15.75" customHeight="1">
      <c r="AF25" s="441">
        <v>15</v>
      </c>
    </row>
    <row r="26" spans="1:32" ht="15.75" customHeight="1">
      <c r="AF26" s="441">
        <v>15</v>
      </c>
    </row>
    <row r="27" spans="1:32" ht="15.75" customHeight="1">
      <c r="AF27" s="441">
        <v>15</v>
      </c>
    </row>
    <row r="28" spans="1:32" ht="15.75" customHeight="1">
      <c r="AF28" s="441">
        <v>15</v>
      </c>
    </row>
    <row r="29" spans="1:32" ht="15.75" customHeight="1">
      <c r="J29" s="748"/>
      <c r="AF29" s="441">
        <v>15</v>
      </c>
    </row>
    <row r="30" spans="1:32" ht="22.5" hidden="1" customHeight="1">
      <c r="A30" s="385" t="s">
        <v>83</v>
      </c>
      <c r="B30" s="441">
        <v>0</v>
      </c>
      <c r="C30" s="619">
        <v>4</v>
      </c>
      <c r="D30" s="441">
        <v>6</v>
      </c>
      <c r="E30" s="441">
        <v>47</v>
      </c>
      <c r="F30" s="441">
        <v>9</v>
      </c>
      <c r="G30" s="691">
        <v>0</v>
      </c>
      <c r="H30" s="691">
        <v>0</v>
      </c>
      <c r="I30" s="441">
        <v>25</v>
      </c>
      <c r="J30" s="441">
        <v>33</v>
      </c>
      <c r="K30" s="1558">
        <v>0</v>
      </c>
      <c r="L30" s="1558">
        <v>0</v>
      </c>
      <c r="M30" s="1558">
        <v>0</v>
      </c>
      <c r="N30" s="1558">
        <v>0</v>
      </c>
      <c r="O30" s="1558">
        <v>0</v>
      </c>
      <c r="P30" s="1558">
        <v>0</v>
      </c>
      <c r="Q30" s="1558">
        <v>0</v>
      </c>
      <c r="R30" s="1558">
        <v>0</v>
      </c>
      <c r="S30" s="1558">
        <v>0</v>
      </c>
      <c r="T30" s="1558">
        <v>0</v>
      </c>
      <c r="U30" s="353">
        <v>50</v>
      </c>
      <c r="V30" s="441">
        <v>10</v>
      </c>
      <c r="W30" s="441">
        <v>10</v>
      </c>
      <c r="X30" s="441">
        <v>10</v>
      </c>
      <c r="Y30" s="441">
        <v>10</v>
      </c>
      <c r="Z30" s="441">
        <v>10</v>
      </c>
      <c r="AA30" s="441">
        <v>10</v>
      </c>
      <c r="AB30" s="441">
        <v>10</v>
      </c>
      <c r="AC30" s="441">
        <v>10</v>
      </c>
      <c r="AD30" s="441">
        <v>10</v>
      </c>
      <c r="AE30" s="611">
        <v>10</v>
      </c>
      <c r="AF30" s="441">
        <v>23</v>
      </c>
    </row>
  </sheetData>
  <sheetProtection formatColumns="0" formatRows="0" insertRows="0" deleteColumns="0" deleteRows="0" sort="0" autoFilter="0"/>
  <mergeCells count="28">
    <mergeCell ref="D5:J5"/>
    <mergeCell ref="D6:J6"/>
    <mergeCell ref="U9:U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 ref="Q9:R9"/>
    <mergeCell ref="Q10:R10"/>
    <mergeCell ref="Q11:R11"/>
    <mergeCell ref="S9:T9"/>
    <mergeCell ref="S10:T10"/>
    <mergeCell ref="S11:T11"/>
  </mergeCells>
  <dataValidations count="4">
    <dataValidation type="textLength" operator="lessThanOrEqual" allowBlank="1" showInputMessage="1" showErrorMessage="1" errorTitle="Ошибка" error="Допускается ввод не более 900 символов!" sqref="H19:H21 J19:J21 L19:L21 N19:N21 P19:P21 R19:R21 T19:T21">
      <formula1>900</formula1>
    </dataValidation>
    <dataValidation type="whole" allowBlank="1" showErrorMessage="1" errorTitle="Ошибка" error="Допускается ввод только неотрицательных целых чисел!" sqref="G19:G20 I19:I20 K19 K20 M19 M20 O19 O20 Q19 Q20 S19 S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O21 Q21 S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5" customWidth="1"/>
    <col min="2" max="2" width="11" style="1767" customWidth="1"/>
    <col min="3" max="3" width="9.140625" style="1767"/>
    <col min="4" max="4" width="26.5703125" style="1767" customWidth="1"/>
    <col min="5" max="5" width="36.85546875" style="1742" customWidth="1"/>
    <col min="6" max="6" width="41.42578125" style="1742" customWidth="1"/>
    <col min="7" max="7" width="31.42578125" style="1742" customWidth="1"/>
    <col min="8" max="8" width="40.85546875" style="1742" customWidth="1"/>
    <col min="9" max="9" width="14.5703125" style="1742" customWidth="1"/>
    <col min="10" max="10" width="26.85546875" style="1742" customWidth="1"/>
    <col min="11" max="11" width="50" style="1742" customWidth="1"/>
    <col min="12" max="12" width="52.42578125" style="1742" customWidth="1"/>
    <col min="13" max="13" width="10.7109375" style="1742" customWidth="1"/>
    <col min="14" max="14" width="55.140625" style="1742" customWidth="1"/>
    <col min="15" max="15" width="31.85546875" style="1742" customWidth="1"/>
    <col min="16" max="16" width="23.85546875" style="1742" customWidth="1"/>
    <col min="17" max="17" width="46.5703125" style="1742" customWidth="1"/>
    <col min="18" max="18" width="24" style="1742" customWidth="1"/>
    <col min="19" max="19" width="20.5703125" style="1742" customWidth="1"/>
    <col min="20" max="20" width="22" style="1742" customWidth="1"/>
    <col min="21" max="22" width="26.42578125" style="1742" customWidth="1"/>
    <col min="23" max="23" width="8.28515625" style="1742" hidden="1" customWidth="1"/>
    <col min="24" max="24" width="59.7109375" style="1742" customWidth="1"/>
    <col min="25" max="25" width="49.140625" style="1742" customWidth="1"/>
    <col min="26" max="26" width="11.140625" style="1742" customWidth="1"/>
    <col min="27" max="30" width="29" style="1742" customWidth="1"/>
    <col min="31" max="31" width="9.140625" style="1742"/>
    <col min="32" max="32" width="34.7109375" style="1742" customWidth="1"/>
    <col min="33" max="33" width="9.140625" style="1742"/>
    <col min="34" max="35" width="34.42578125" style="1742" customWidth="1"/>
    <col min="36" max="36" width="9.140625" style="1742"/>
    <col min="37" max="37" width="24.5703125" style="1742" customWidth="1"/>
    <col min="38" max="38" width="9.140625" style="1742"/>
    <col min="39" max="39" width="26.140625" style="1742" customWidth="1"/>
    <col min="40" max="40" width="1.7109375" style="1742" customWidth="1"/>
    <col min="41" max="41" width="9.140625" style="1742"/>
    <col min="42" max="43" width="47.85546875" style="1742" customWidth="1"/>
    <col min="44" max="44" width="1.7109375" style="1742" customWidth="1"/>
    <col min="45" max="45" width="21.42578125" style="1742" customWidth="1"/>
    <col min="46" max="46" width="1.7109375" style="1742" customWidth="1"/>
    <col min="47" max="47" width="31.28515625" style="1742" customWidth="1"/>
    <col min="48" max="48" width="1.7109375" style="1742" customWidth="1"/>
    <col min="49" max="50" width="9.140625" style="1742"/>
    <col min="51" max="51" width="3.7109375" style="1742" customWidth="1"/>
    <col min="52" max="52" width="60.85546875" style="1742" customWidth="1"/>
    <col min="53" max="53" width="49.28515625" style="1742" customWidth="1"/>
    <col min="54" max="54" width="35.140625" style="1742" customWidth="1"/>
    <col min="55" max="55" width="9.140625" style="1742"/>
    <col min="56" max="56" width="1.7109375" style="1742" customWidth="1"/>
    <col min="57" max="58" width="34.5703125" style="993" customWidth="1"/>
    <col min="59" max="59" width="30.7109375" style="1742" customWidth="1"/>
    <col min="60" max="60" width="40.7109375" style="1757" customWidth="1"/>
    <col min="61" max="61" width="15" style="1757" customWidth="1"/>
    <col min="62" max="62" width="40.7109375" style="1757" customWidth="1"/>
    <col min="63" max="63" width="2.7109375" style="1757" customWidth="1"/>
    <col min="64" max="64" width="44.7109375" style="1757" customWidth="1"/>
    <col min="65" max="65" width="2.7109375" style="1757" customWidth="1"/>
    <col min="66" max="66" width="40.7109375" style="1757" customWidth="1"/>
    <col min="67" max="68" width="9.140625" style="1742"/>
    <col min="69" max="69" width="18.140625" style="1742" customWidth="1"/>
    <col min="70" max="70" width="57.85546875" style="1742" customWidth="1"/>
    <col min="71" max="71" width="1.7109375" style="1742" customWidth="1"/>
    <col min="72" max="72" width="22.5703125" style="1742" customWidth="1"/>
    <col min="73" max="73" width="57.85546875" style="1742" customWidth="1"/>
    <col min="74" max="74" width="1.7109375" style="1742" customWidth="1"/>
    <col min="75" max="75" width="22.5703125" style="1742" customWidth="1"/>
    <col min="76" max="76" width="57.85546875" style="1742" customWidth="1"/>
    <col min="77" max="77" width="1.7109375" style="1742" customWidth="1"/>
    <col min="78" max="78" width="22.5703125" style="1742" customWidth="1"/>
    <col min="79" max="79" width="57.85546875" style="1742" customWidth="1"/>
    <col min="80" max="81" width="9.140625" style="1742"/>
    <col min="82" max="82" width="49.5703125" style="1742" customWidth="1"/>
  </cols>
  <sheetData>
    <row r="1" spans="1:79" s="1350" customFormat="1" ht="11.25" customHeight="1">
      <c r="A1" s="994" t="s">
        <v>1370</v>
      </c>
      <c r="B1" s="994" t="s">
        <v>1371</v>
      </c>
      <c r="C1" s="994" t="s">
        <v>1372</v>
      </c>
      <c r="D1" s="994" t="s">
        <v>1373</v>
      </c>
      <c r="E1" s="994" t="s">
        <v>1374</v>
      </c>
      <c r="F1" s="994" t="s">
        <v>1375</v>
      </c>
      <c r="G1" s="994" t="s">
        <v>1376</v>
      </c>
      <c r="H1" s="994" t="s">
        <v>1377</v>
      </c>
      <c r="I1" s="994" t="s">
        <v>1378</v>
      </c>
      <c r="J1" s="994" t="s">
        <v>1379</v>
      </c>
      <c r="K1" s="994" t="s">
        <v>1380</v>
      </c>
      <c r="L1" s="994" t="s">
        <v>1381</v>
      </c>
      <c r="M1" s="994"/>
      <c r="N1" s="994" t="s">
        <v>1382</v>
      </c>
      <c r="O1" s="994" t="s">
        <v>1383</v>
      </c>
      <c r="P1" s="994" t="s">
        <v>1384</v>
      </c>
      <c r="Q1" s="994" t="s">
        <v>1385</v>
      </c>
      <c r="R1" s="994" t="s">
        <v>1386</v>
      </c>
      <c r="S1" s="994" t="s">
        <v>1387</v>
      </c>
      <c r="T1" s="994" t="s">
        <v>1388</v>
      </c>
      <c r="U1" s="994" t="s">
        <v>1389</v>
      </c>
      <c r="V1" s="994"/>
      <c r="W1" s="726" t="s">
        <v>1390</v>
      </c>
      <c r="X1" s="994" t="s">
        <v>1391</v>
      </c>
      <c r="Y1" s="994" t="s">
        <v>1392</v>
      </c>
      <c r="Z1" s="994"/>
      <c r="AA1" s="994" t="s">
        <v>1393</v>
      </c>
      <c r="AB1" s="994"/>
      <c r="AC1" s="994" t="s">
        <v>1394</v>
      </c>
      <c r="AD1" s="994"/>
      <c r="AF1" s="994" t="s">
        <v>1395</v>
      </c>
      <c r="AH1" s="994" t="s">
        <v>1396</v>
      </c>
      <c r="AI1" s="994" t="s">
        <v>1397</v>
      </c>
      <c r="AK1" s="994" t="s">
        <v>1398</v>
      </c>
      <c r="AM1" s="994" t="s">
        <v>1399</v>
      </c>
      <c r="AP1" s="994" t="s">
        <v>1400</v>
      </c>
      <c r="AQ1" s="994" t="s">
        <v>1401</v>
      </c>
      <c r="AS1" s="994" t="s">
        <v>1402</v>
      </c>
      <c r="AU1" s="994" t="s">
        <v>1403</v>
      </c>
      <c r="AW1" s="994" t="s">
        <v>1404</v>
      </c>
      <c r="AX1" s="994" t="s">
        <v>1405</v>
      </c>
      <c r="AZ1" s="1075" t="s">
        <v>1406</v>
      </c>
      <c r="BB1" s="994" t="s">
        <v>1407</v>
      </c>
      <c r="BC1" s="994"/>
      <c r="BE1" s="994" t="s">
        <v>1408</v>
      </c>
      <c r="BF1" s="994" t="s">
        <v>1409</v>
      </c>
      <c r="BH1" s="996" t="s">
        <v>971</v>
      </c>
      <c r="BI1" s="997"/>
      <c r="BJ1" s="998" t="s">
        <v>1410</v>
      </c>
      <c r="BK1" s="997"/>
      <c r="BL1" s="999" t="s">
        <v>1071</v>
      </c>
      <c r="BM1" s="997"/>
      <c r="BN1" s="1000" t="s">
        <v>1411</v>
      </c>
    </row>
    <row r="2" spans="1:79" ht="11.25" customHeight="1">
      <c r="A2" s="1001" t="s">
        <v>1412</v>
      </c>
      <c r="B2" s="1002">
        <v>2000</v>
      </c>
      <c r="C2" s="1002">
        <v>2022</v>
      </c>
      <c r="D2" s="1002" t="s">
        <v>63</v>
      </c>
      <c r="E2" s="1003" t="s">
        <v>1413</v>
      </c>
      <c r="F2" s="1003" t="s">
        <v>1414</v>
      </c>
      <c r="G2" s="1003" t="s">
        <v>1415</v>
      </c>
      <c r="H2" s="1004" t="s">
        <v>55</v>
      </c>
      <c r="I2" s="1003" t="s">
        <v>100</v>
      </c>
      <c r="J2" s="1003" t="s">
        <v>1416</v>
      </c>
      <c r="K2" s="1005" t="s">
        <v>1417</v>
      </c>
      <c r="L2" s="1006"/>
      <c r="M2" s="1005">
        <v>1</v>
      </c>
      <c r="N2" s="1085" t="s">
        <v>1418</v>
      </c>
      <c r="O2" s="1004" t="s">
        <v>1419</v>
      </c>
      <c r="P2" s="1007" t="s">
        <v>38</v>
      </c>
      <c r="Q2" s="1008" t="s">
        <v>1420</v>
      </c>
      <c r="R2" s="81" t="s">
        <v>1421</v>
      </c>
      <c r="S2" s="81" t="s">
        <v>1422</v>
      </c>
      <c r="T2" s="1009" t="s">
        <v>1423</v>
      </c>
      <c r="U2" s="1006" t="s">
        <v>1424</v>
      </c>
      <c r="V2" s="1010">
        <v>1</v>
      </c>
      <c r="W2" s="1011"/>
      <c r="X2" s="1011" t="s">
        <v>1425</v>
      </c>
      <c r="Y2" s="1002" t="s">
        <v>1426</v>
      </c>
      <c r="Z2" s="1012"/>
      <c r="AA2" s="1002" t="s">
        <v>1427</v>
      </c>
      <c r="AB2" s="1013" t="s">
        <v>1427</v>
      </c>
      <c r="AC2" s="1002" t="s">
        <v>1428</v>
      </c>
      <c r="AD2" s="1013" t="s">
        <v>1428</v>
      </c>
      <c r="AF2" s="1004" t="s">
        <v>1424</v>
      </c>
      <c r="AH2" s="1003" t="s">
        <v>1429</v>
      </c>
      <c r="AI2" s="1003" t="s">
        <v>1429</v>
      </c>
      <c r="AK2" s="1003" t="s">
        <v>1430</v>
      </c>
      <c r="AM2" s="1003" t="s">
        <v>1431</v>
      </c>
      <c r="AP2" s="1014" t="s">
        <v>1425</v>
      </c>
      <c r="AQ2" s="1015" t="s">
        <v>1425</v>
      </c>
      <c r="AS2" s="1002" t="s">
        <v>1432</v>
      </c>
      <c r="AU2" s="1044" t="s">
        <v>1433</v>
      </c>
      <c r="AW2" s="1044" t="s">
        <v>1434</v>
      </c>
      <c r="AX2" s="1044" t="s">
        <v>1434</v>
      </c>
      <c r="AZ2" s="1044" t="s">
        <v>53</v>
      </c>
      <c r="BB2" s="1044" t="s">
        <v>586</v>
      </c>
      <c r="BC2" s="1044" t="s">
        <v>587</v>
      </c>
      <c r="BE2" s="2002" t="s">
        <v>1199</v>
      </c>
      <c r="BF2" s="2002" t="s">
        <v>1199</v>
      </c>
    </row>
    <row r="3" spans="1:79" ht="11.25" customHeight="1">
      <c r="A3" s="1001" t="s">
        <v>1435</v>
      </c>
      <c r="B3" s="1002">
        <v>2001</v>
      </c>
      <c r="C3" s="1002">
        <v>2023</v>
      </c>
      <c r="D3" s="1002" t="s">
        <v>19</v>
      </c>
      <c r="E3" s="1003" t="s">
        <v>1436</v>
      </c>
      <c r="F3" s="1003" t="s">
        <v>1437</v>
      </c>
      <c r="G3" s="1003" t="s">
        <v>1438</v>
      </c>
      <c r="H3" s="1004" t="s">
        <v>1439</v>
      </c>
      <c r="I3" s="1003" t="s">
        <v>103</v>
      </c>
      <c r="J3" s="1003" t="s">
        <v>573</v>
      </c>
      <c r="K3" s="1005" t="s">
        <v>1440</v>
      </c>
      <c r="L3" s="1006">
        <f>IFERROR(MATCH(K3,OFFER_METHOD,0),0)</f>
        <v>0</v>
      </c>
      <c r="M3" s="1005">
        <v>2</v>
      </c>
      <c r="N3" s="1085" t="s">
        <v>1441</v>
      </c>
      <c r="O3" s="1004" t="s">
        <v>1442</v>
      </c>
      <c r="P3" s="1007" t="s">
        <v>1443</v>
      </c>
      <c r="Q3" s="1008" t="s">
        <v>1444</v>
      </c>
      <c r="R3" s="81" t="s">
        <v>1445</v>
      </c>
      <c r="S3" s="81" t="s">
        <v>1446</v>
      </c>
      <c r="T3" s="1009" t="s">
        <v>1447</v>
      </c>
      <c r="U3" s="1006" t="s">
        <v>1448</v>
      </c>
      <c r="V3" s="1010">
        <v>2</v>
      </c>
      <c r="W3" s="1011"/>
      <c r="X3" s="1011" t="s">
        <v>1449</v>
      </c>
      <c r="Y3" s="1002" t="s">
        <v>1426</v>
      </c>
      <c r="Z3" s="1012"/>
      <c r="AA3" s="1002" t="s">
        <v>1450</v>
      </c>
      <c r="AB3" s="1013" t="s">
        <v>1450</v>
      </c>
      <c r="AC3" s="1002" t="s">
        <v>1451</v>
      </c>
      <c r="AD3" s="1013" t="s">
        <v>1451</v>
      </c>
      <c r="AF3" s="1004" t="s">
        <v>1448</v>
      </c>
      <c r="AH3" s="1003" t="s">
        <v>1452</v>
      </c>
      <c r="AI3" s="1003" t="s">
        <v>1453</v>
      </c>
      <c r="AK3" s="1003" t="s">
        <v>1454</v>
      </c>
      <c r="AM3" s="1003" t="s">
        <v>1455</v>
      </c>
      <c r="AP3" s="1014" t="s">
        <v>1456</v>
      </c>
      <c r="AQ3" s="1015" t="s">
        <v>1456</v>
      </c>
      <c r="AS3" s="1002" t="s">
        <v>1457</v>
      </c>
      <c r="AU3" s="1044" t="s">
        <v>1458</v>
      </c>
      <c r="AW3" s="1044" t="s">
        <v>1459</v>
      </c>
      <c r="AX3" s="1044" t="s">
        <v>1459</v>
      </c>
      <c r="AZ3" s="1044" t="s">
        <v>1460</v>
      </c>
      <c r="BB3" s="1044" t="s">
        <v>1461</v>
      </c>
      <c r="BC3" s="1044" t="s">
        <v>587</v>
      </c>
      <c r="BE3" s="2002" t="s">
        <v>1462</v>
      </c>
      <c r="BF3" s="2002" t="s">
        <v>1462</v>
      </c>
      <c r="BH3" s="994" t="s">
        <v>1463</v>
      </c>
      <c r="BJ3" s="994" t="s">
        <v>1464</v>
      </c>
      <c r="BL3" s="994" t="s">
        <v>1465</v>
      </c>
      <c r="BN3" s="994" t="s">
        <v>1466</v>
      </c>
      <c r="BR3" s="994" t="s">
        <v>1467</v>
      </c>
      <c r="BS3" s="1351"/>
      <c r="BT3" s="997"/>
      <c r="BU3" s="994" t="s">
        <v>1468</v>
      </c>
      <c r="BV3" s="997"/>
      <c r="BW3" s="1612"/>
      <c r="BX3" s="1614" t="s">
        <v>1469</v>
      </c>
      <c r="CA3" s="994" t="s">
        <v>1470</v>
      </c>
    </row>
    <row r="4" spans="1:79" ht="11.25" customHeight="1">
      <c r="A4" s="1001" t="s">
        <v>16</v>
      </c>
      <c r="B4" s="1002">
        <v>2002</v>
      </c>
      <c r="C4" s="1002">
        <v>2024</v>
      </c>
      <c r="E4" s="1003" t="s">
        <v>1471</v>
      </c>
      <c r="F4" s="1003" t="s">
        <v>1472</v>
      </c>
      <c r="H4" s="1004" t="s">
        <v>1473</v>
      </c>
      <c r="I4" s="1003" t="s">
        <v>91</v>
      </c>
      <c r="J4" s="1003" t="s">
        <v>1474</v>
      </c>
      <c r="K4" s="1005" t="s">
        <v>1475</v>
      </c>
      <c r="L4" s="1006">
        <f>IFERROR(MATCH(K4,OFFER_METHOD,0),0)</f>
        <v>0</v>
      </c>
      <c r="M4" s="1005">
        <v>3</v>
      </c>
      <c r="N4" s="1085" t="s">
        <v>1476</v>
      </c>
      <c r="O4" s="1003" t="s">
        <v>1477</v>
      </c>
      <c r="Q4" s="1008" t="s">
        <v>1478</v>
      </c>
      <c r="R4" s="81" t="s">
        <v>1479</v>
      </c>
      <c r="S4" s="81" t="s">
        <v>1480</v>
      </c>
      <c r="T4" s="1009" t="s">
        <v>1481</v>
      </c>
      <c r="U4" s="1006" t="s">
        <v>1482</v>
      </c>
      <c r="V4" s="1010">
        <v>3</v>
      </c>
      <c r="W4" s="1011"/>
      <c r="X4" s="1011" t="s">
        <v>1483</v>
      </c>
      <c r="Y4" s="1002" t="s">
        <v>1426</v>
      </c>
      <c r="Z4" s="1017"/>
      <c r="AC4" s="1002" t="s">
        <v>1484</v>
      </c>
      <c r="AD4" s="1013" t="s">
        <v>1484</v>
      </c>
      <c r="AF4" s="1004" t="s">
        <v>1482</v>
      </c>
      <c r="AH4" s="1004" t="s">
        <v>1485</v>
      </c>
      <c r="AK4" s="1003" t="s">
        <v>1486</v>
      </c>
      <c r="AM4" s="1003" t="s">
        <v>1487</v>
      </c>
      <c r="AP4" s="1014" t="s">
        <v>1449</v>
      </c>
      <c r="AQ4" s="1015" t="s">
        <v>1449</v>
      </c>
      <c r="AS4" s="1002" t="s">
        <v>1488</v>
      </c>
      <c r="AU4" s="1044" t="s">
        <v>1489</v>
      </c>
      <c r="AW4" s="1044" t="s">
        <v>1490</v>
      </c>
      <c r="AX4" s="1044" t="s">
        <v>1490</v>
      </c>
      <c r="AZ4" s="1044" t="s">
        <v>1491</v>
      </c>
      <c r="BB4" s="1044" t="s">
        <v>1492</v>
      </c>
      <c r="BC4" s="1044" t="s">
        <v>1493</v>
      </c>
      <c r="BE4" s="1044">
        <v>2000</v>
      </c>
      <c r="BF4" s="1044" t="s">
        <v>1494</v>
      </c>
      <c r="BH4" s="995" t="s">
        <v>1495</v>
      </c>
      <c r="BJ4" s="995" t="s">
        <v>1495</v>
      </c>
      <c r="BL4" s="995" t="s">
        <v>1495</v>
      </c>
      <c r="BN4" s="995" t="s">
        <v>1495</v>
      </c>
      <c r="BQ4" s="1355" t="s">
        <v>1496</v>
      </c>
      <c r="BR4" s="1082" t="s">
        <v>1497</v>
      </c>
      <c r="BS4" s="211"/>
      <c r="BT4" s="1355" t="s">
        <v>1498</v>
      </c>
      <c r="BU4" s="1082" t="s">
        <v>1499</v>
      </c>
      <c r="BV4" s="997"/>
      <c r="BW4" s="1619" t="s">
        <v>1500</v>
      </c>
      <c r="BX4" s="1613" t="s">
        <v>1501</v>
      </c>
      <c r="BZ4" s="1355" t="s">
        <v>1502</v>
      </c>
      <c r="CA4" s="1082" t="s">
        <v>1503</v>
      </c>
    </row>
    <row r="5" spans="1:79" ht="11.25" customHeight="1">
      <c r="A5" s="1001" t="s">
        <v>1504</v>
      </c>
      <c r="B5" s="1002">
        <v>2003</v>
      </c>
      <c r="C5" s="2008">
        <v>2025</v>
      </c>
      <c r="D5" s="1620" t="s">
        <v>1505</v>
      </c>
      <c r="E5" s="2009" t="s">
        <v>1506</v>
      </c>
      <c r="F5" s="1003" t="s">
        <v>1507</v>
      </c>
      <c r="H5" s="1004" t="s">
        <v>1508</v>
      </c>
      <c r="I5" s="1003" t="s">
        <v>92</v>
      </c>
      <c r="K5" s="1005" t="s">
        <v>1509</v>
      </c>
      <c r="L5" s="1006">
        <f>IFERROR(MATCH(K5,OFFER_METHOD,0),0)</f>
        <v>0</v>
      </c>
      <c r="M5" s="1005">
        <v>4</v>
      </c>
      <c r="N5" s="1018" t="s">
        <v>1510</v>
      </c>
      <c r="O5" s="1003" t="s">
        <v>1511</v>
      </c>
      <c r="Q5" s="1008" t="s">
        <v>1512</v>
      </c>
      <c r="R5" s="81" t="s">
        <v>603</v>
      </c>
      <c r="T5" s="1004" t="s">
        <v>1513</v>
      </c>
      <c r="U5" s="1006" t="s">
        <v>1514</v>
      </c>
      <c r="V5" s="1010">
        <v>4</v>
      </c>
      <c r="W5" s="1011"/>
      <c r="X5" s="1011" t="s">
        <v>187</v>
      </c>
      <c r="Y5" s="1002" t="s">
        <v>1515</v>
      </c>
      <c r="Z5" s="1017">
        <v>1</v>
      </c>
      <c r="AF5" s="1004" t="s">
        <v>1516</v>
      </c>
      <c r="AH5" s="1003" t="s">
        <v>1517</v>
      </c>
      <c r="AK5" s="1003" t="s">
        <v>1518</v>
      </c>
      <c r="AM5" s="1003" t="s">
        <v>1519</v>
      </c>
      <c r="AP5" s="1014" t="s">
        <v>187</v>
      </c>
      <c r="AQ5" s="1015" t="s">
        <v>187</v>
      </c>
      <c r="AU5" s="1044" t="s">
        <v>1520</v>
      </c>
      <c r="AW5" s="1044" t="s">
        <v>1521</v>
      </c>
      <c r="AX5" s="1044" t="s">
        <v>1521</v>
      </c>
      <c r="AZ5" s="1044" t="s">
        <v>1522</v>
      </c>
      <c r="BB5" s="1044" t="s">
        <v>1523</v>
      </c>
      <c r="BC5" s="1044" t="s">
        <v>590</v>
      </c>
      <c r="BE5" s="1044">
        <v>2001</v>
      </c>
      <c r="BF5" s="1044" t="s">
        <v>1524</v>
      </c>
      <c r="BH5" s="995" t="s">
        <v>1201</v>
      </c>
      <c r="BJ5" s="995" t="s">
        <v>1201</v>
      </c>
      <c r="BL5" s="995" t="s">
        <v>1201</v>
      </c>
      <c r="BN5" s="995" t="s">
        <v>1525</v>
      </c>
      <c r="BQ5" s="1204">
        <v>4213775</v>
      </c>
      <c r="BR5" s="995" t="s">
        <v>1425</v>
      </c>
      <c r="BS5" s="1352"/>
      <c r="BT5" s="1204">
        <v>64236871</v>
      </c>
      <c r="BU5" s="995" t="s">
        <v>248</v>
      </c>
      <c r="BV5" s="997"/>
      <c r="BW5" s="1617">
        <v>4213767</v>
      </c>
      <c r="BX5" s="1615" t="s">
        <v>1526</v>
      </c>
      <c r="BZ5" s="1204">
        <v>64237509</v>
      </c>
      <c r="CA5" s="1218" t="s">
        <v>1527</v>
      </c>
    </row>
    <row r="6" spans="1:79" ht="11.25" customHeight="1">
      <c r="A6" s="1001" t="s">
        <v>1528</v>
      </c>
      <c r="B6" s="1002">
        <v>2004</v>
      </c>
      <c r="C6" s="2008">
        <v>2026</v>
      </c>
      <c r="D6" s="2010"/>
      <c r="E6" s="2009" t="s">
        <v>1529</v>
      </c>
      <c r="F6" s="1019"/>
      <c r="H6" s="1004" t="s">
        <v>1530</v>
      </c>
      <c r="I6" s="1003" t="s">
        <v>123</v>
      </c>
      <c r="J6" s="994" t="s">
        <v>1531</v>
      </c>
      <c r="L6" s="1006">
        <f>SUM(kind_of_control_method_filter)</f>
        <v>0</v>
      </c>
      <c r="N6" s="1018" t="s">
        <v>1532</v>
      </c>
      <c r="O6" s="1003" t="s">
        <v>1533</v>
      </c>
      <c r="R6" s="81" t="s">
        <v>1420</v>
      </c>
      <c r="T6" s="1004" t="s">
        <v>1534</v>
      </c>
      <c r="U6" s="1006" t="s">
        <v>1516</v>
      </c>
      <c r="V6" s="1010">
        <v>5</v>
      </c>
      <c r="W6" s="1011"/>
      <c r="X6" s="1002" t="s">
        <v>193</v>
      </c>
      <c r="Y6" s="1002" t="s">
        <v>1535</v>
      </c>
      <c r="Z6" s="1017"/>
      <c r="AA6" s="1020"/>
      <c r="AH6" s="1003" t="s">
        <v>1536</v>
      </c>
      <c r="AK6" s="1003" t="s">
        <v>1537</v>
      </c>
      <c r="AM6" s="1003" t="s">
        <v>1538</v>
      </c>
      <c r="AP6" s="1014" t="s">
        <v>193</v>
      </c>
      <c r="AQ6" s="1015" t="s">
        <v>193</v>
      </c>
      <c r="AU6" s="1044" t="s">
        <v>1539</v>
      </c>
      <c r="AW6" s="1044" t="s">
        <v>1540</v>
      </c>
      <c r="AX6" s="1044" t="s">
        <v>1540</v>
      </c>
      <c r="BB6" s="1044" t="s">
        <v>1541</v>
      </c>
      <c r="BC6" s="1044" t="s">
        <v>590</v>
      </c>
      <c r="BE6" s="1044">
        <v>2002</v>
      </c>
      <c r="BF6" s="1044" t="s">
        <v>1542</v>
      </c>
      <c r="BH6" s="995" t="s">
        <v>1543</v>
      </c>
      <c r="BJ6" s="995" t="s">
        <v>1544</v>
      </c>
      <c r="BL6" s="995" t="s">
        <v>1544</v>
      </c>
      <c r="BN6" s="995" t="s">
        <v>1545</v>
      </c>
      <c r="BQ6" s="1204">
        <v>4213784</v>
      </c>
      <c r="BR6" s="1218" t="s">
        <v>1456</v>
      </c>
      <c r="BS6" s="1353"/>
      <c r="BT6" s="1204">
        <v>64236872</v>
      </c>
      <c r="BU6" s="995" t="s">
        <v>253</v>
      </c>
      <c r="BV6" s="997"/>
      <c r="BW6" s="1617">
        <v>4213768</v>
      </c>
      <c r="BX6" s="1615" t="s">
        <v>273</v>
      </c>
      <c r="BZ6" s="1204">
        <v>64237510</v>
      </c>
      <c r="CA6" s="995" t="s">
        <v>1546</v>
      </c>
    </row>
    <row r="7" spans="1:79" ht="11.25" customHeight="1">
      <c r="A7" s="1001" t="s">
        <v>1547</v>
      </c>
      <c r="B7" s="1002">
        <v>2005</v>
      </c>
      <c r="E7" s="1003" t="s">
        <v>1548</v>
      </c>
      <c r="F7" s="1019"/>
      <c r="H7" s="1004" t="s">
        <v>1549</v>
      </c>
      <c r="I7" s="1003" t="s">
        <v>93</v>
      </c>
      <c r="J7" s="1003" t="s">
        <v>1550</v>
      </c>
      <c r="N7" s="1022" t="s">
        <v>1551</v>
      </c>
      <c r="O7" s="1003" t="s">
        <v>1552</v>
      </c>
      <c r="U7" s="1006" t="s">
        <v>19</v>
      </c>
      <c r="V7" s="306" t="s">
        <v>93</v>
      </c>
      <c r="W7" s="1011"/>
      <c r="X7" s="1002" t="s">
        <v>199</v>
      </c>
      <c r="Y7" s="1002" t="s">
        <v>1515</v>
      </c>
      <c r="Z7" s="1017"/>
      <c r="AA7" s="1020"/>
      <c r="AH7" s="1003" t="s">
        <v>1553</v>
      </c>
      <c r="AK7" s="1003" t="s">
        <v>1554</v>
      </c>
      <c r="AM7" s="1003" t="s">
        <v>1555</v>
      </c>
      <c r="AP7" s="1014" t="s">
        <v>199</v>
      </c>
      <c r="AQ7" s="1015" t="s">
        <v>199</v>
      </c>
      <c r="AU7" s="1044" t="s">
        <v>1556</v>
      </c>
      <c r="AW7" s="1044" t="s">
        <v>1557</v>
      </c>
      <c r="AX7" s="1044" t="s">
        <v>1557</v>
      </c>
      <c r="AZ7" s="994" t="s">
        <v>1558</v>
      </c>
      <c r="BB7" s="1044" t="s">
        <v>589</v>
      </c>
      <c r="BC7" s="1044" t="s">
        <v>590</v>
      </c>
      <c r="BE7" s="1044">
        <v>2003</v>
      </c>
      <c r="BF7" s="1044" t="s">
        <v>1559</v>
      </c>
      <c r="BH7" s="995" t="s">
        <v>1560</v>
      </c>
      <c r="BJ7" s="995" t="s">
        <v>1543</v>
      </c>
      <c r="BL7" s="995" t="s">
        <v>1543</v>
      </c>
      <c r="BN7" s="995" t="s">
        <v>1561</v>
      </c>
      <c r="BQ7" s="1204">
        <v>4213781</v>
      </c>
      <c r="BR7" s="995" t="s">
        <v>1449</v>
      </c>
      <c r="BS7" s="1352"/>
      <c r="BT7" s="1204">
        <v>64236873</v>
      </c>
      <c r="BU7" s="995" t="s">
        <v>258</v>
      </c>
      <c r="BV7" s="997"/>
      <c r="BW7" s="1617">
        <v>4213769</v>
      </c>
      <c r="BX7" s="1615" t="s">
        <v>1562</v>
      </c>
      <c r="BZ7" s="1204">
        <v>64237511</v>
      </c>
      <c r="CA7" s="995" t="s">
        <v>288</v>
      </c>
    </row>
    <row r="8" spans="1:79" ht="11.25" customHeight="1">
      <c r="A8" s="1001" t="s">
        <v>1563</v>
      </c>
      <c r="B8" s="1002">
        <v>2006</v>
      </c>
      <c r="E8" s="1003" t="s">
        <v>1564</v>
      </c>
      <c r="F8" s="1019"/>
      <c r="H8" s="1004" t="s">
        <v>1565</v>
      </c>
      <c r="I8" s="1003" t="s">
        <v>94</v>
      </c>
      <c r="J8" s="1003" t="s">
        <v>1566</v>
      </c>
      <c r="N8" s="1086" t="s">
        <v>1567</v>
      </c>
      <c r="O8" s="1003" t="s">
        <v>1568</v>
      </c>
      <c r="V8" s="306" t="s">
        <v>94</v>
      </c>
      <c r="W8" s="1011"/>
      <c r="X8" s="1002" t="s">
        <v>205</v>
      </c>
      <c r="Y8" s="1002" t="s">
        <v>1515</v>
      </c>
      <c r="Z8" s="1017"/>
      <c r="AA8" s="1020"/>
      <c r="AK8" s="1003" t="s">
        <v>1569</v>
      </c>
      <c r="AP8" s="1014" t="s">
        <v>205</v>
      </c>
      <c r="AQ8" s="1015" t="s">
        <v>205</v>
      </c>
      <c r="AU8" s="1044" t="s">
        <v>1570</v>
      </c>
      <c r="AW8" s="1044" t="s">
        <v>1571</v>
      </c>
      <c r="AX8" s="1044" t="s">
        <v>1571</v>
      </c>
      <c r="AZ8" s="1044" t="s">
        <v>1572</v>
      </c>
      <c r="BB8" s="1044" t="s">
        <v>1573</v>
      </c>
      <c r="BC8" s="1044" t="s">
        <v>590</v>
      </c>
      <c r="BE8" s="1044">
        <v>2004</v>
      </c>
      <c r="BF8" s="1044" t="s">
        <v>1574</v>
      </c>
      <c r="BH8" s="995" t="s">
        <v>1206</v>
      </c>
      <c r="BJ8" s="995" t="s">
        <v>1575</v>
      </c>
      <c r="BL8" s="995" t="s">
        <v>1575</v>
      </c>
      <c r="BN8" s="995" t="s">
        <v>1215</v>
      </c>
      <c r="BQ8" s="1204">
        <v>4213776</v>
      </c>
      <c r="BR8" s="995" t="s">
        <v>187</v>
      </c>
      <c r="BS8" s="1352"/>
      <c r="BT8" s="1204">
        <v>64236874</v>
      </c>
      <c r="BU8" s="1218" t="s">
        <v>1576</v>
      </c>
      <c r="BV8" s="997"/>
      <c r="BW8" s="1617">
        <v>4213770</v>
      </c>
      <c r="BX8" s="1618" t="s">
        <v>1577</v>
      </c>
      <c r="BZ8" s="1204">
        <v>64237512</v>
      </c>
      <c r="CA8" s="995" t="s">
        <v>283</v>
      </c>
    </row>
    <row r="9" spans="1:79" ht="11.25" customHeight="1">
      <c r="A9" s="1001" t="s">
        <v>1578</v>
      </c>
      <c r="B9" s="1002">
        <v>2007</v>
      </c>
      <c r="E9" s="1003" t="s">
        <v>1579</v>
      </c>
      <c r="F9" s="2011" t="s">
        <v>1580</v>
      </c>
      <c r="G9" s="994" t="s">
        <v>1581</v>
      </c>
      <c r="H9" s="994" t="s">
        <v>1582</v>
      </c>
      <c r="I9" s="1003" t="s">
        <v>124</v>
      </c>
      <c r="O9" s="1003" t="s">
        <v>1583</v>
      </c>
      <c r="V9" s="306" t="s">
        <v>124</v>
      </c>
      <c r="W9" s="1011"/>
      <c r="X9" s="1002" t="s">
        <v>211</v>
      </c>
      <c r="Y9" s="1002" t="s">
        <v>1426</v>
      </c>
      <c r="Z9" s="1017">
        <v>1</v>
      </c>
      <c r="AA9" s="1020"/>
      <c r="AK9" s="1003" t="s">
        <v>658</v>
      </c>
      <c r="AP9" s="1014" t="s">
        <v>1584</v>
      </c>
      <c r="AQ9" s="1015" t="s">
        <v>1584</v>
      </c>
      <c r="AW9" s="1044" t="s">
        <v>1585</v>
      </c>
      <c r="AX9" s="1044" t="s">
        <v>1585</v>
      </c>
      <c r="AZ9" s="1044" t="s">
        <v>68</v>
      </c>
      <c r="BB9" s="1044" t="s">
        <v>593</v>
      </c>
      <c r="BC9" s="1044" t="s">
        <v>590</v>
      </c>
      <c r="BE9" s="1044">
        <v>2005</v>
      </c>
      <c r="BF9" s="1044" t="s">
        <v>1586</v>
      </c>
      <c r="BH9" s="995" t="s">
        <v>1587</v>
      </c>
      <c r="BJ9" s="995" t="s">
        <v>1588</v>
      </c>
      <c r="BL9" s="995" t="s">
        <v>1588</v>
      </c>
      <c r="BN9" s="995" t="s">
        <v>1589</v>
      </c>
      <c r="BQ9" s="1204">
        <v>4213777</v>
      </c>
      <c r="BR9" s="995" t="s">
        <v>193</v>
      </c>
      <c r="BS9" s="1352"/>
      <c r="BT9" s="1204">
        <v>64236875</v>
      </c>
      <c r="BU9" s="995" t="s">
        <v>263</v>
      </c>
      <c r="BV9" s="997"/>
      <c r="BW9" s="1612"/>
      <c r="BX9" s="1612"/>
    </row>
    <row r="10" spans="1:79" ht="11.25" customHeight="1">
      <c r="A10" s="1001" t="s">
        <v>1590</v>
      </c>
      <c r="B10" s="1002">
        <v>2008</v>
      </c>
      <c r="E10" s="1005" t="s">
        <v>1591</v>
      </c>
      <c r="F10" s="2012" t="s">
        <v>1592</v>
      </c>
      <c r="G10" s="2009" t="s">
        <v>1593</v>
      </c>
      <c r="H10" s="1003" t="s">
        <v>1594</v>
      </c>
      <c r="I10" s="1003" t="s">
        <v>169</v>
      </c>
      <c r="J10" s="994" t="s">
        <v>1595</v>
      </c>
      <c r="K10" s="994" t="s">
        <v>1596</v>
      </c>
      <c r="O10" s="1003" t="s">
        <v>1597</v>
      </c>
      <c r="V10" s="307" t="s">
        <v>169</v>
      </c>
      <c r="W10" s="1023"/>
      <c r="X10" s="1023" t="s">
        <v>1598</v>
      </c>
      <c r="Y10" s="1024" t="s">
        <v>1599</v>
      </c>
      <c r="Z10" s="1017"/>
      <c r="AP10" s="1014" t="s">
        <v>1598</v>
      </c>
      <c r="AQ10" s="1015" t="s">
        <v>1598</v>
      </c>
      <c r="AW10" s="1044" t="s">
        <v>1600</v>
      </c>
      <c r="AX10" s="1044" t="s">
        <v>1600</v>
      </c>
      <c r="AZ10" s="1044" t="s">
        <v>1601</v>
      </c>
      <c r="BB10" s="1044" t="s">
        <v>1602</v>
      </c>
      <c r="BC10" s="1044" t="s">
        <v>590</v>
      </c>
      <c r="BE10" s="1044">
        <v>2006</v>
      </c>
      <c r="BF10" s="1044" t="s">
        <v>1603</v>
      </c>
      <c r="BH10" s="995" t="s">
        <v>1200</v>
      </c>
      <c r="BJ10" s="995" t="s">
        <v>1604</v>
      </c>
      <c r="BL10" s="995" t="s">
        <v>1604</v>
      </c>
      <c r="BN10" s="995" t="s">
        <v>1605</v>
      </c>
      <c r="BQ10" s="1204">
        <v>4213778</v>
      </c>
      <c r="BR10" s="995" t="s">
        <v>199</v>
      </c>
      <c r="BS10" s="1352"/>
      <c r="BT10" s="1204">
        <v>64236876</v>
      </c>
      <c r="BU10" s="995" t="s">
        <v>243</v>
      </c>
      <c r="BV10" s="997"/>
      <c r="BW10" s="1612"/>
      <c r="BX10" s="1612"/>
    </row>
    <row r="11" spans="1:79" ht="11.25" customHeight="1">
      <c r="A11" s="1001" t="s">
        <v>1606</v>
      </c>
      <c r="B11" s="1002">
        <v>2009</v>
      </c>
      <c r="E11" s="1005" t="s">
        <v>1607</v>
      </c>
      <c r="F11" s="2012" t="s">
        <v>1608</v>
      </c>
      <c r="G11" s="2009" t="s">
        <v>1609</v>
      </c>
      <c r="H11" s="1003" t="s">
        <v>1610</v>
      </c>
      <c r="I11" s="1003" t="s">
        <v>170</v>
      </c>
      <c r="J11" s="1004" t="s">
        <v>1611</v>
      </c>
      <c r="K11" s="1025" t="s">
        <v>591</v>
      </c>
      <c r="O11" s="1004" t="s">
        <v>1612</v>
      </c>
      <c r="V11" s="306" t="s">
        <v>170</v>
      </c>
      <c r="W11" s="212"/>
      <c r="X11" s="1011" t="s">
        <v>1584</v>
      </c>
      <c r="Y11" s="1002" t="s">
        <v>1613</v>
      </c>
      <c r="Z11" s="1017"/>
      <c r="AP11" s="1014" t="s">
        <v>211</v>
      </c>
      <c r="AQ11" s="1016" t="s">
        <v>211</v>
      </c>
      <c r="AW11" s="1044" t="s">
        <v>1614</v>
      </c>
      <c r="AX11" s="1044" t="s">
        <v>1614</v>
      </c>
      <c r="AZ11" s="1044" t="s">
        <v>1615</v>
      </c>
      <c r="BB11" s="1044" t="s">
        <v>592</v>
      </c>
      <c r="BC11" s="1044" t="s">
        <v>590</v>
      </c>
      <c r="BE11" s="1044">
        <v>2007</v>
      </c>
      <c r="BF11" s="1044" t="s">
        <v>1616</v>
      </c>
      <c r="BH11" s="995" t="s">
        <v>1617</v>
      </c>
      <c r="BJ11" s="995" t="s">
        <v>1587</v>
      </c>
      <c r="BL11" s="995" t="s">
        <v>1587</v>
      </c>
      <c r="BN11" s="995" t="s">
        <v>1618</v>
      </c>
      <c r="BQ11" s="1204">
        <v>4213780</v>
      </c>
      <c r="BR11" s="995" t="s">
        <v>205</v>
      </c>
      <c r="BS11" s="1352"/>
      <c r="BW11" s="1612"/>
      <c r="BX11" s="1612"/>
    </row>
    <row r="12" spans="1:79" ht="11.25" customHeight="1">
      <c r="A12" s="1001" t="s">
        <v>1619</v>
      </c>
      <c r="B12" s="1002">
        <v>2010</v>
      </c>
      <c r="E12" s="1005" t="s">
        <v>1620</v>
      </c>
      <c r="F12" s="2012" t="s">
        <v>1621</v>
      </c>
      <c r="G12" s="2009" t="s">
        <v>1610</v>
      </c>
      <c r="I12" s="1003" t="s">
        <v>171</v>
      </c>
      <c r="J12" s="1004" t="s">
        <v>1622</v>
      </c>
      <c r="K12" s="1025" t="s">
        <v>588</v>
      </c>
      <c r="O12" s="1004" t="s">
        <v>1420</v>
      </c>
      <c r="V12" s="306" t="s">
        <v>171</v>
      </c>
      <c r="W12" s="1016"/>
      <c r="X12" s="1011" t="s">
        <v>1623</v>
      </c>
      <c r="Y12" s="1002" t="s">
        <v>1426</v>
      </c>
      <c r="AP12" s="1014"/>
      <c r="AW12" s="1044" t="s">
        <v>170</v>
      </c>
      <c r="AX12" s="1044" t="s">
        <v>170</v>
      </c>
      <c r="AZ12" s="1044" t="s">
        <v>1624</v>
      </c>
      <c r="BB12" s="1044" t="s">
        <v>1625</v>
      </c>
      <c r="BC12" s="1044" t="s">
        <v>590</v>
      </c>
      <c r="BE12" s="1044">
        <v>2008</v>
      </c>
      <c r="BF12" s="1044" t="s">
        <v>1626</v>
      </c>
      <c r="BH12" s="995" t="s">
        <v>1213</v>
      </c>
      <c r="BJ12" s="995" t="s">
        <v>1627</v>
      </c>
      <c r="BL12" s="995" t="s">
        <v>1627</v>
      </c>
      <c r="BN12" s="995" t="s">
        <v>1628</v>
      </c>
      <c r="BQ12" s="1204">
        <v>4213779</v>
      </c>
      <c r="BR12" s="995" t="s">
        <v>1584</v>
      </c>
      <c r="BS12" s="1352"/>
      <c r="BT12" s="997"/>
      <c r="BU12" s="997"/>
      <c r="BV12" s="997"/>
      <c r="BW12" s="1612"/>
      <c r="BX12" s="1612"/>
    </row>
    <row r="13" spans="1:79" ht="11.25" customHeight="1">
      <c r="A13" s="1001" t="s">
        <v>1629</v>
      </c>
      <c r="B13" s="1002">
        <v>2011</v>
      </c>
      <c r="E13" s="1003" t="s">
        <v>1630</v>
      </c>
      <c r="F13" s="1019"/>
      <c r="I13" s="1003" t="s">
        <v>172</v>
      </c>
      <c r="K13" s="1025" t="s">
        <v>658</v>
      </c>
      <c r="V13" s="306" t="s">
        <v>172</v>
      </c>
      <c r="W13" s="1016"/>
      <c r="X13" s="1016"/>
      <c r="Y13" s="1016"/>
      <c r="AW13" s="1044" t="s">
        <v>171</v>
      </c>
      <c r="AX13" s="1044" t="s">
        <v>171</v>
      </c>
      <c r="BB13" s="1044" t="s">
        <v>1631</v>
      </c>
      <c r="BC13" s="1044" t="s">
        <v>1632</v>
      </c>
      <c r="BE13" s="1044">
        <v>2009</v>
      </c>
      <c r="BF13" s="1044" t="s">
        <v>1208</v>
      </c>
      <c r="BH13" s="995" t="s">
        <v>1633</v>
      </c>
      <c r="BJ13" s="995" t="s">
        <v>1617</v>
      </c>
      <c r="BL13" s="995" t="s">
        <v>1617</v>
      </c>
      <c r="BN13" s="995" t="s">
        <v>1634</v>
      </c>
      <c r="BQ13" s="1204">
        <v>4213783</v>
      </c>
      <c r="BR13" s="995" t="s">
        <v>1598</v>
      </c>
      <c r="BS13" s="1352"/>
      <c r="BT13" s="997"/>
      <c r="BU13" s="997"/>
      <c r="BV13" s="997"/>
      <c r="BW13" s="1616"/>
      <c r="BX13" s="1612"/>
    </row>
    <row r="14" spans="1:79" ht="11.25" customHeight="1">
      <c r="A14" s="1001" t="s">
        <v>1635</v>
      </c>
      <c r="B14" s="1002">
        <v>2012</v>
      </c>
      <c r="I14" s="1003" t="s">
        <v>173</v>
      </c>
      <c r="J14" s="994" t="s">
        <v>1636</v>
      </c>
      <c r="N14" s="994" t="s">
        <v>1637</v>
      </c>
      <c r="V14" s="1010">
        <v>13</v>
      </c>
      <c r="W14" s="1011"/>
      <c r="X14" s="1011" t="s">
        <v>1456</v>
      </c>
      <c r="Y14" s="1002" t="s">
        <v>1426</v>
      </c>
      <c r="AW14" s="1044" t="s">
        <v>172</v>
      </c>
      <c r="AX14" s="1044" t="s">
        <v>172</v>
      </c>
      <c r="AZ14" s="994" t="s">
        <v>1638</v>
      </c>
      <c r="BB14" s="1044" t="s">
        <v>1639</v>
      </c>
      <c r="BC14" s="1044" t="s">
        <v>1632</v>
      </c>
      <c r="BE14" s="1044">
        <v>2010</v>
      </c>
      <c r="BF14" s="1044" t="s">
        <v>1640</v>
      </c>
      <c r="BH14" s="995" t="s">
        <v>1561</v>
      </c>
      <c r="BJ14" s="1140" t="s">
        <v>1641</v>
      </c>
      <c r="BL14" s="1140" t="s">
        <v>1641</v>
      </c>
      <c r="BN14" s="995" t="s">
        <v>1642</v>
      </c>
      <c r="BQ14" s="1204">
        <v>4213782</v>
      </c>
      <c r="BR14" s="995" t="s">
        <v>211</v>
      </c>
      <c r="BS14" s="1352"/>
      <c r="BT14" s="997"/>
      <c r="BU14" s="997"/>
      <c r="BV14" s="997"/>
      <c r="BW14" s="1616"/>
      <c r="BX14" s="1612"/>
    </row>
    <row r="15" spans="1:79" ht="19.5" customHeight="1">
      <c r="A15" s="1001" t="s">
        <v>1643</v>
      </c>
      <c r="B15" s="1002">
        <v>2013</v>
      </c>
      <c r="E15" s="1620" t="s">
        <v>1644</v>
      </c>
      <c r="G15" s="994" t="s">
        <v>1645</v>
      </c>
      <c r="H15" s="994" t="s">
        <v>1646</v>
      </c>
      <c r="I15" s="1005" t="s">
        <v>174</v>
      </c>
      <c r="J15" s="1016" t="s">
        <v>612</v>
      </c>
      <c r="N15" s="1081" t="s">
        <v>1647</v>
      </c>
      <c r="X15" s="1014"/>
      <c r="AW15" s="1044" t="s">
        <v>173</v>
      </c>
      <c r="AX15" s="1044" t="s">
        <v>173</v>
      </c>
      <c r="AZ15" s="1044" t="s">
        <v>1572</v>
      </c>
      <c r="BB15" s="1044" t="s">
        <v>1648</v>
      </c>
      <c r="BC15" s="1044" t="s">
        <v>1632</v>
      </c>
      <c r="BE15" s="1044">
        <v>2011</v>
      </c>
      <c r="BF15" s="1044" t="s">
        <v>1197</v>
      </c>
      <c r="BH15" s="995" t="s">
        <v>1215</v>
      </c>
      <c r="BJ15" s="1140" t="s">
        <v>1649</v>
      </c>
      <c r="BL15" s="1140" t="s">
        <v>1649</v>
      </c>
      <c r="BN15" s="995" t="s">
        <v>1650</v>
      </c>
      <c r="BR15" s="997"/>
      <c r="BS15" s="1354"/>
      <c r="BT15" s="997"/>
      <c r="BU15" s="997"/>
      <c r="BV15" s="997"/>
      <c r="BW15" s="1616"/>
      <c r="BX15" s="1612"/>
    </row>
    <row r="16" spans="1:79" ht="21" customHeight="1">
      <c r="A16" s="1787" t="s">
        <v>1651</v>
      </c>
      <c r="B16" s="1002">
        <v>2014</v>
      </c>
      <c r="E16" s="1621" t="s">
        <v>1652</v>
      </c>
      <c r="G16" s="1003" t="s">
        <v>1653</v>
      </c>
      <c r="H16" s="1003" t="s">
        <v>1654</v>
      </c>
      <c r="I16" s="1005" t="s">
        <v>1655</v>
      </c>
      <c r="J16" s="1016" t="s">
        <v>573</v>
      </c>
      <c r="N16" s="1081" t="s">
        <v>1656</v>
      </c>
      <c r="AW16" s="1044" t="s">
        <v>174</v>
      </c>
      <c r="AX16" s="1044" t="s">
        <v>174</v>
      </c>
      <c r="AZ16" s="1044" t="s">
        <v>68</v>
      </c>
      <c r="BB16" s="1044" t="s">
        <v>1657</v>
      </c>
      <c r="BC16" s="1044" t="s">
        <v>1632</v>
      </c>
      <c r="BE16" s="1044">
        <v>2012</v>
      </c>
      <c r="BH16" s="995" t="s">
        <v>1589</v>
      </c>
      <c r="BJ16" s="1140" t="s">
        <v>1658</v>
      </c>
      <c r="BL16" s="1140" t="s">
        <v>1658</v>
      </c>
      <c r="BN16" s="995" t="s">
        <v>1659</v>
      </c>
      <c r="BR16" s="997"/>
      <c r="BS16" s="1354"/>
      <c r="BT16" s="997"/>
      <c r="BU16" s="997"/>
      <c r="BV16" s="997"/>
      <c r="BW16" s="1616"/>
      <c r="BX16" s="1612"/>
    </row>
    <row r="17" spans="1:82" ht="21" customHeight="1">
      <c r="A17" s="1001" t="s">
        <v>1660</v>
      </c>
      <c r="B17" s="1002">
        <v>2015</v>
      </c>
      <c r="G17" s="1003" t="s">
        <v>1610</v>
      </c>
      <c r="H17" s="1003" t="s">
        <v>1610</v>
      </c>
      <c r="I17" s="1003" t="s">
        <v>1661</v>
      </c>
      <c r="N17" s="1081" t="s">
        <v>1662</v>
      </c>
      <c r="X17" s="1014"/>
      <c r="AW17" s="1044" t="s">
        <v>1655</v>
      </c>
      <c r="AX17" s="1044" t="s">
        <v>1655</v>
      </c>
      <c r="AZ17" s="1044" t="s">
        <v>1663</v>
      </c>
      <c r="BB17" s="1044" t="s">
        <v>1664</v>
      </c>
      <c r="BC17" s="1044" t="s">
        <v>590</v>
      </c>
      <c r="BE17" s="1044">
        <v>2013</v>
      </c>
      <c r="BH17" s="995" t="s">
        <v>1605</v>
      </c>
      <c r="BJ17" s="1140" t="s">
        <v>1665</v>
      </c>
      <c r="BL17" s="1140" t="s">
        <v>1665</v>
      </c>
      <c r="BN17" s="995" t="s">
        <v>1666</v>
      </c>
      <c r="BR17" s="994" t="s">
        <v>1467</v>
      </c>
      <c r="BS17" s="1351"/>
      <c r="BU17" s="994" t="s">
        <v>1667</v>
      </c>
      <c r="BV17" s="997"/>
      <c r="BW17" s="1612"/>
      <c r="BX17" s="1614" t="s">
        <v>1668</v>
      </c>
      <c r="CA17" s="994" t="s">
        <v>1669</v>
      </c>
      <c r="CD17" s="994" t="s">
        <v>1670</v>
      </c>
    </row>
    <row r="18" spans="1:82" ht="21" customHeight="1">
      <c r="A18" s="1001" t="s">
        <v>1671</v>
      </c>
      <c r="B18" s="1002">
        <v>2016</v>
      </c>
      <c r="E18" s="1919" t="s">
        <v>1672</v>
      </c>
      <c r="I18" s="1003" t="s">
        <v>1673</v>
      </c>
      <c r="N18" s="1081" t="s">
        <v>1674</v>
      </c>
      <c r="X18" s="1014"/>
      <c r="AW18" s="1044" t="s">
        <v>1661</v>
      </c>
      <c r="AX18" s="1044" t="s">
        <v>1661</v>
      </c>
      <c r="BB18" s="1044" t="s">
        <v>1675</v>
      </c>
      <c r="BC18" s="1044" t="s">
        <v>590</v>
      </c>
      <c r="BE18" s="1044">
        <v>2014</v>
      </c>
      <c r="BH18" s="995" t="s">
        <v>1618</v>
      </c>
      <c r="BJ18" s="1140" t="s">
        <v>1676</v>
      </c>
      <c r="BL18" s="1140" t="s">
        <v>1676</v>
      </c>
      <c r="BN18" s="995" t="s">
        <v>1677</v>
      </c>
      <c r="BQ18" s="1355" t="s">
        <v>1496</v>
      </c>
      <c r="BR18" s="1082" t="s">
        <v>1497</v>
      </c>
      <c r="BS18" s="211"/>
      <c r="BT18" s="1355" t="s">
        <v>1678</v>
      </c>
      <c r="BU18" s="1082" t="s">
        <v>1679</v>
      </c>
      <c r="BV18" s="997"/>
      <c r="BW18" s="1619" t="s">
        <v>1680</v>
      </c>
      <c r="BX18" s="1613" t="s">
        <v>1681</v>
      </c>
      <c r="BZ18" s="1355" t="s">
        <v>1682</v>
      </c>
      <c r="CA18" s="1082" t="s">
        <v>1683</v>
      </c>
      <c r="CC18" s="1355" t="s">
        <v>1684</v>
      </c>
      <c r="CD18" s="1082" t="s">
        <v>1685</v>
      </c>
    </row>
    <row r="19" spans="1:82" ht="21" customHeight="1">
      <c r="A19" s="1787" t="s">
        <v>1686</v>
      </c>
      <c r="B19" s="1002">
        <v>2017</v>
      </c>
      <c r="E19" s="1001" t="s">
        <v>186</v>
      </c>
      <c r="I19" s="1003" t="s">
        <v>1687</v>
      </c>
      <c r="N19" s="1081" t="s">
        <v>1688</v>
      </c>
      <c r="X19" s="1014"/>
      <c r="AW19" s="1044" t="s">
        <v>1673</v>
      </c>
      <c r="AX19" s="1044" t="s">
        <v>1673</v>
      </c>
      <c r="AZ19" s="994" t="s">
        <v>1689</v>
      </c>
      <c r="BB19" s="1044" t="s">
        <v>1690</v>
      </c>
      <c r="BC19" s="1044" t="s">
        <v>590</v>
      </c>
      <c r="BE19" s="1044">
        <v>2015</v>
      </c>
      <c r="BH19" s="995" t="s">
        <v>1691</v>
      </c>
      <c r="BJ19" s="1140" t="s">
        <v>1692</v>
      </c>
      <c r="BL19" s="1140" t="s">
        <v>1692</v>
      </c>
      <c r="BQ19" s="1204">
        <v>4190064</v>
      </c>
      <c r="BR19" s="995" t="s">
        <v>1693</v>
      </c>
      <c r="BS19" s="1352"/>
      <c r="BT19" s="1204">
        <v>4189671</v>
      </c>
      <c r="BU19" s="995" t="s">
        <v>1694</v>
      </c>
      <c r="BV19" s="997"/>
      <c r="BW19" s="1617">
        <v>4189706</v>
      </c>
      <c r="BX19" s="1615" t="s">
        <v>1695</v>
      </c>
      <c r="BZ19" s="1204">
        <v>4189714</v>
      </c>
      <c r="CA19" s="995" t="s">
        <v>1696</v>
      </c>
      <c r="CC19" s="1204">
        <v>4189708</v>
      </c>
      <c r="CD19" s="995" t="s">
        <v>1697</v>
      </c>
    </row>
    <row r="20" spans="1:82" ht="21" customHeight="1">
      <c r="A20" s="1001" t="s">
        <v>1698</v>
      </c>
      <c r="B20" s="1002">
        <v>2018</v>
      </c>
      <c r="E20" s="1001" t="s">
        <v>1456</v>
      </c>
      <c r="I20" s="1003" t="s">
        <v>1699</v>
      </c>
      <c r="N20" s="1081" t="s">
        <v>1700</v>
      </c>
      <c r="AW20" s="1044" t="s">
        <v>1687</v>
      </c>
      <c r="AX20" s="1044" t="s">
        <v>1687</v>
      </c>
      <c r="AZ20" s="1044" t="s">
        <v>1701</v>
      </c>
      <c r="BB20" s="1044" t="s">
        <v>1702</v>
      </c>
      <c r="BC20" s="1044" t="s">
        <v>1632</v>
      </c>
      <c r="BE20" s="1044">
        <v>2016</v>
      </c>
      <c r="BH20" s="995" t="s">
        <v>1628</v>
      </c>
      <c r="BJ20" s="995" t="s">
        <v>1561</v>
      </c>
      <c r="BL20" s="995" t="s">
        <v>1561</v>
      </c>
      <c r="BQ20" s="1204">
        <v>4190065</v>
      </c>
      <c r="BR20" s="995" t="s">
        <v>1703</v>
      </c>
      <c r="BS20" s="1352"/>
      <c r="BT20" s="1204">
        <v>4189672</v>
      </c>
      <c r="BU20" s="995" t="s">
        <v>1704</v>
      </c>
      <c r="BV20" s="997"/>
      <c r="BW20" s="1617">
        <v>4189705</v>
      </c>
      <c r="BX20" s="1615" t="s">
        <v>1705</v>
      </c>
      <c r="BZ20" s="1204">
        <v>4189713</v>
      </c>
      <c r="CA20" s="995" t="s">
        <v>1705</v>
      </c>
      <c r="CC20" s="1204">
        <v>4189709</v>
      </c>
      <c r="CD20" s="995" t="s">
        <v>1706</v>
      </c>
    </row>
    <row r="21" spans="1:82" ht="21" customHeight="1">
      <c r="A21" s="1001" t="s">
        <v>1707</v>
      </c>
      <c r="B21" s="1002">
        <v>2019</v>
      </c>
      <c r="I21" s="1003" t="s">
        <v>1708</v>
      </c>
      <c r="N21" s="1081" t="s">
        <v>1709</v>
      </c>
      <c r="AW21" s="1044" t="s">
        <v>1699</v>
      </c>
      <c r="AX21" s="1044" t="s">
        <v>1699</v>
      </c>
      <c r="AZ21" s="1044" t="s">
        <v>1710</v>
      </c>
      <c r="BB21" s="1044" t="s">
        <v>1711</v>
      </c>
      <c r="BC21" s="1044" t="s">
        <v>590</v>
      </c>
      <c r="BE21" s="1044">
        <v>2017</v>
      </c>
      <c r="BH21" s="995" t="s">
        <v>1634</v>
      </c>
      <c r="BJ21" s="995" t="s">
        <v>1215</v>
      </c>
      <c r="BL21" s="995" t="s">
        <v>1215</v>
      </c>
      <c r="BQ21" s="1204">
        <v>4190066</v>
      </c>
      <c r="BR21" s="995" t="s">
        <v>1712</v>
      </c>
      <c r="BS21" s="1352"/>
      <c r="BT21" s="1204">
        <v>4189673</v>
      </c>
      <c r="BU21" s="995" t="s">
        <v>1713</v>
      </c>
      <c r="BV21" s="997"/>
      <c r="BW21" s="1617">
        <v>4189707</v>
      </c>
      <c r="BX21" s="1615" t="s">
        <v>1714</v>
      </c>
      <c r="BZ21" s="1204">
        <v>4189712</v>
      </c>
      <c r="CA21" s="995" t="s">
        <v>1715</v>
      </c>
      <c r="CC21" s="1204">
        <v>4189710</v>
      </c>
      <c r="CD21" s="995" t="s">
        <v>1716</v>
      </c>
    </row>
    <row r="22" spans="1:82" ht="21" customHeight="1">
      <c r="A22" s="1001" t="s">
        <v>1717</v>
      </c>
      <c r="B22" s="1002">
        <v>2020</v>
      </c>
      <c r="N22" s="1081" t="s">
        <v>1718</v>
      </c>
      <c r="AW22" s="1044" t="s">
        <v>1708</v>
      </c>
      <c r="AX22" s="1044" t="s">
        <v>1708</v>
      </c>
      <c r="AZ22" s="1044" t="s">
        <v>1719</v>
      </c>
      <c r="BB22" s="1044" t="s">
        <v>1720</v>
      </c>
      <c r="BC22" s="1044" t="s">
        <v>590</v>
      </c>
      <c r="BE22" s="1044">
        <v>2018</v>
      </c>
      <c r="BH22" s="995" t="s">
        <v>1642</v>
      </c>
      <c r="BJ22" s="995" t="s">
        <v>1589</v>
      </c>
      <c r="BL22" s="995" t="s">
        <v>1589</v>
      </c>
      <c r="BQ22" s="1204">
        <v>4190067</v>
      </c>
      <c r="BR22" s="995" t="s">
        <v>1721</v>
      </c>
      <c r="BS22" s="1352"/>
      <c r="BT22" s="1204">
        <v>4189674</v>
      </c>
      <c r="BU22" s="995" t="s">
        <v>1722</v>
      </c>
      <c r="BV22" s="997"/>
      <c r="BW22" s="997"/>
      <c r="CC22" s="1204">
        <v>4189711</v>
      </c>
      <c r="CD22" s="995" t="s">
        <v>312</v>
      </c>
    </row>
    <row r="23" spans="1:82" ht="21" customHeight="1">
      <c r="A23" s="1001" t="s">
        <v>1723</v>
      </c>
      <c r="B23" s="1002">
        <v>2021</v>
      </c>
      <c r="AW23" s="1044" t="s">
        <v>1724</v>
      </c>
      <c r="AX23" s="1044" t="s">
        <v>1724</v>
      </c>
      <c r="AZ23" s="1044" t="s">
        <v>1725</v>
      </c>
      <c r="BB23" s="1044" t="s">
        <v>1726</v>
      </c>
      <c r="BC23" s="1044" t="s">
        <v>587</v>
      </c>
      <c r="BE23" s="1044">
        <v>2019</v>
      </c>
      <c r="BH23" s="995" t="s">
        <v>1650</v>
      </c>
      <c r="BJ23" s="995" t="s">
        <v>1605</v>
      </c>
      <c r="BL23" s="995" t="s">
        <v>1605</v>
      </c>
      <c r="BQ23" s="1204">
        <v>4190068</v>
      </c>
      <c r="BR23" s="995" t="s">
        <v>1727</v>
      </c>
      <c r="BS23" s="1352"/>
      <c r="BT23" s="1204">
        <v>4189675</v>
      </c>
      <c r="BU23" s="995" t="s">
        <v>1728</v>
      </c>
      <c r="BV23" s="997"/>
      <c r="BW23" s="997"/>
      <c r="CC23" s="1204">
        <v>5110778</v>
      </c>
      <c r="CD23" s="995" t="s">
        <v>1729</v>
      </c>
    </row>
    <row r="24" spans="1:82" ht="21" customHeight="1">
      <c r="A24" s="1001" t="s">
        <v>1730</v>
      </c>
      <c r="B24" s="1002">
        <v>2022</v>
      </c>
      <c r="AW24" s="1044" t="s">
        <v>1731</v>
      </c>
      <c r="AX24" s="1044" t="s">
        <v>1731</v>
      </c>
      <c r="AZ24" s="1044" t="s">
        <v>1732</v>
      </c>
      <c r="BB24" s="1044" t="s">
        <v>1733</v>
      </c>
      <c r="BC24" s="1044" t="s">
        <v>1734</v>
      </c>
      <c r="BE24" s="1044">
        <v>2020</v>
      </c>
      <c r="BH24" s="995" t="s">
        <v>1659</v>
      </c>
      <c r="BJ24" s="995" t="s">
        <v>1618</v>
      </c>
      <c r="BL24" s="995" t="s">
        <v>1618</v>
      </c>
      <c r="BQ24" s="1204">
        <v>4190069</v>
      </c>
      <c r="BR24" s="995" t="s">
        <v>1735</v>
      </c>
      <c r="BS24" s="1352"/>
      <c r="BT24" s="1204">
        <v>4189676</v>
      </c>
      <c r="BU24" s="995" t="s">
        <v>1736</v>
      </c>
      <c r="BV24" s="997"/>
      <c r="BW24" s="997"/>
      <c r="CC24" s="1204">
        <v>25575374</v>
      </c>
      <c r="CD24" s="995" t="s">
        <v>1737</v>
      </c>
    </row>
    <row r="25" spans="1:82" ht="11.25" customHeight="1">
      <c r="A25" s="1001" t="s">
        <v>1738</v>
      </c>
      <c r="B25" s="1002">
        <v>2023</v>
      </c>
      <c r="AW25" s="1044" t="s">
        <v>1739</v>
      </c>
      <c r="AX25" s="1044" t="s">
        <v>1739</v>
      </c>
      <c r="AZ25" s="1044" t="s">
        <v>1313</v>
      </c>
      <c r="BB25" s="1044" t="s">
        <v>1740</v>
      </c>
      <c r="BC25" s="1044" t="s">
        <v>1734</v>
      </c>
      <c r="BE25" s="1044">
        <v>2021</v>
      </c>
      <c r="BH25" s="995" t="s">
        <v>1666</v>
      </c>
      <c r="BJ25" s="995" t="s">
        <v>1691</v>
      </c>
      <c r="BL25" s="995" t="s">
        <v>1691</v>
      </c>
      <c r="BQ25" s="1204">
        <v>4190070</v>
      </c>
      <c r="BR25" s="995" t="s">
        <v>1741</v>
      </c>
      <c r="BS25" s="1352"/>
      <c r="BT25" s="1204">
        <v>4189677</v>
      </c>
      <c r="BU25" s="995" t="s">
        <v>1742</v>
      </c>
      <c r="BV25" s="997"/>
      <c r="BW25" s="997"/>
    </row>
    <row r="26" spans="1:82" ht="11.25" customHeight="1">
      <c r="A26" s="1001" t="s">
        <v>1743</v>
      </c>
      <c r="B26" s="1002">
        <v>2024</v>
      </c>
      <c r="J26" s="1652" t="s">
        <v>1744</v>
      </c>
      <c r="AX26" s="1044" t="s">
        <v>1745</v>
      </c>
      <c r="AZ26" s="1044" t="s">
        <v>1612</v>
      </c>
      <c r="BB26" s="1044" t="s">
        <v>1746</v>
      </c>
      <c r="BC26" s="1044" t="s">
        <v>1734</v>
      </c>
      <c r="BE26" s="1044">
        <v>2022</v>
      </c>
      <c r="BH26" s="995" t="s">
        <v>1677</v>
      </c>
      <c r="BJ26" s="995" t="s">
        <v>1628</v>
      </c>
      <c r="BL26" s="995" t="s">
        <v>1628</v>
      </c>
      <c r="BQ26" s="1204">
        <v>4190071</v>
      </c>
      <c r="BR26" s="995" t="s">
        <v>1747</v>
      </c>
      <c r="BS26" s="1352"/>
      <c r="BV26" s="997"/>
      <c r="BW26" s="997"/>
    </row>
    <row r="27" spans="1:82" ht="11.25" customHeight="1">
      <c r="A27" s="1001" t="s">
        <v>1748</v>
      </c>
      <c r="B27" s="1002">
        <v>2025</v>
      </c>
      <c r="J27" s="113" t="s">
        <v>104</v>
      </c>
      <c r="AX27" s="1044" t="s">
        <v>1749</v>
      </c>
      <c r="BB27" s="1044" t="s">
        <v>1750</v>
      </c>
      <c r="BC27" s="1044" t="s">
        <v>1734</v>
      </c>
      <c r="BE27" s="1044">
        <v>2023</v>
      </c>
      <c r="BH27" s="997" t="s">
        <v>22</v>
      </c>
      <c r="BJ27" s="995" t="s">
        <v>1634</v>
      </c>
      <c r="BL27" s="995" t="s">
        <v>1634</v>
      </c>
      <c r="BN27" s="997" t="s">
        <v>22</v>
      </c>
      <c r="BQ27" s="1204">
        <v>4190072</v>
      </c>
      <c r="BR27" s="995" t="s">
        <v>1751</v>
      </c>
      <c r="BS27" s="1352"/>
      <c r="BV27" s="997"/>
      <c r="BW27" s="997"/>
    </row>
    <row r="28" spans="1:82" ht="11.25" customHeight="1">
      <c r="A28" s="1001" t="s">
        <v>1752</v>
      </c>
      <c r="D28" s="1026"/>
      <c r="E28" s="1027"/>
      <c r="F28" s="1027"/>
      <c r="H28" s="1028" t="s">
        <v>1753</v>
      </c>
      <c r="AX28" s="1044" t="s">
        <v>1754</v>
      </c>
      <c r="AZ28" s="994" t="s">
        <v>1755</v>
      </c>
      <c r="BB28" s="1044" t="s">
        <v>1756</v>
      </c>
      <c r="BC28" s="1044" t="s">
        <v>1757</v>
      </c>
      <c r="BE28" s="1044">
        <v>2024</v>
      </c>
      <c r="BH28" s="997" t="s">
        <v>22</v>
      </c>
      <c r="BJ28" s="995" t="s">
        <v>1642</v>
      </c>
      <c r="BL28" s="995" t="s">
        <v>1642</v>
      </c>
      <c r="BN28" s="997" t="s">
        <v>22</v>
      </c>
      <c r="BQ28" s="1204">
        <v>4190073</v>
      </c>
      <c r="BR28" s="995" t="s">
        <v>1758</v>
      </c>
      <c r="BS28" s="1352"/>
      <c r="BV28" s="997"/>
      <c r="BW28" s="997"/>
    </row>
    <row r="29" spans="1:82" ht="11.25" customHeight="1">
      <c r="A29" s="1001" t="s">
        <v>1759</v>
      </c>
      <c r="D29" s="1029" t="s">
        <v>1760</v>
      </c>
      <c r="E29" s="1030" t="str">
        <f>IF(TEMPLATE_GROUP="","",INDEX(StartDateList,MATCH(TEMPLATE_GROUP,CodeTemplateList,0),1))</f>
        <v>01.01.2025</v>
      </c>
      <c r="F29" s="1030" t="str">
        <f>IF(TEMPLATE_GROUP="","",INDEX(EndDateList,MATCH(TEMPLATE_GROUP,CodeTemplateList,0),1))</f>
        <v>31.12.2025</v>
      </c>
      <c r="H29" s="1031" t="s">
        <v>1761</v>
      </c>
      <c r="AX29" s="1044" t="s">
        <v>1762</v>
      </c>
      <c r="AZ29" s="1044" t="s">
        <v>1421</v>
      </c>
      <c r="BB29" s="1044" t="s">
        <v>1612</v>
      </c>
      <c r="BC29" s="1017"/>
      <c r="BE29" s="1044">
        <v>2025</v>
      </c>
      <c r="BJ29" s="995" t="s">
        <v>1650</v>
      </c>
      <c r="BL29" s="995" t="s">
        <v>1650</v>
      </c>
    </row>
    <row r="30" spans="1:82" ht="11.25" customHeight="1">
      <c r="A30" s="1001" t="s">
        <v>1763</v>
      </c>
      <c r="D30" s="1032"/>
      <c r="E30" s="1033"/>
      <c r="F30" s="1033"/>
      <c r="AX30" s="1044" t="s">
        <v>1764</v>
      </c>
      <c r="AZ30" s="1044" t="s">
        <v>1445</v>
      </c>
      <c r="BE30" s="1044">
        <v>2026</v>
      </c>
      <c r="BJ30" s="995" t="s">
        <v>1765</v>
      </c>
      <c r="BL30" s="995" t="s">
        <v>1765</v>
      </c>
    </row>
    <row r="31" spans="1:82" ht="12.75" customHeight="1">
      <c r="A31" s="1001" t="s">
        <v>1766</v>
      </c>
      <c r="D31" s="1026"/>
      <c r="E31" s="1027"/>
      <c r="F31" s="1027"/>
      <c r="H31" s="1034"/>
      <c r="AX31" s="1044" t="s">
        <v>1767</v>
      </c>
      <c r="AZ31" s="1044" t="s">
        <v>1768</v>
      </c>
      <c r="BE31" s="1044">
        <v>2027</v>
      </c>
      <c r="BJ31" s="995" t="s">
        <v>1769</v>
      </c>
      <c r="BL31" s="995" t="s">
        <v>1769</v>
      </c>
    </row>
    <row r="32" spans="1:82" ht="11.25" customHeight="1">
      <c r="A32" s="1001" t="s">
        <v>1770</v>
      </c>
      <c r="D32" s="1029" t="s">
        <v>1771</v>
      </c>
      <c r="E32" s="1030" t="str">
        <f>IF(TEMPLATE_GROUP="","",INDEX(StartDateList,MATCH(TEMPLATE_GROUP,CodeTemplateList,0),1))</f>
        <v>01.01.2025</v>
      </c>
      <c r="F32" s="1030" t="str">
        <f>IF(TEMPLATE_GROUP="","",INDEX(EndDateList,MATCH(TEMPLATE_GROUP,CodeTemplateList,0),1))</f>
        <v>31.12.2025</v>
      </c>
      <c r="H32" s="1035" t="s">
        <v>1772</v>
      </c>
      <c r="O32" s="1001" t="s">
        <v>1419</v>
      </c>
      <c r="AX32" s="1044" t="s">
        <v>1773</v>
      </c>
      <c r="AZ32" s="1044" t="s">
        <v>603</v>
      </c>
      <c r="BE32" s="1044">
        <v>2028</v>
      </c>
      <c r="BJ32" s="995" t="s">
        <v>1659</v>
      </c>
      <c r="BL32" s="995" t="s">
        <v>1659</v>
      </c>
    </row>
    <row r="33" spans="1:66" ht="11.25" customHeight="1">
      <c r="A33" s="1001" t="s">
        <v>1774</v>
      </c>
      <c r="O33" s="1001" t="s">
        <v>1442</v>
      </c>
      <c r="AX33" s="1044" t="s">
        <v>1775</v>
      </c>
      <c r="AZ33" s="1044" t="s">
        <v>1420</v>
      </c>
      <c r="BE33" s="1044">
        <v>2029</v>
      </c>
      <c r="BJ33" s="995" t="s">
        <v>1666</v>
      </c>
      <c r="BL33" s="995" t="s">
        <v>1666</v>
      </c>
    </row>
    <row r="34" spans="1:66" ht="11.25" customHeight="1">
      <c r="A34" s="1001" t="s">
        <v>1776</v>
      </c>
      <c r="O34" s="1001" t="s">
        <v>1477</v>
      </c>
      <c r="AX34" s="1044" t="s">
        <v>1777</v>
      </c>
      <c r="BE34" s="1044">
        <v>2030</v>
      </c>
      <c r="BJ34" s="995" t="s">
        <v>1677</v>
      </c>
      <c r="BL34" s="995" t="s">
        <v>1677</v>
      </c>
    </row>
    <row r="35" spans="1:66" ht="11.25" customHeight="1">
      <c r="A35" s="1001" t="s">
        <v>1778</v>
      </c>
      <c r="O35" s="1001" t="s">
        <v>1511</v>
      </c>
      <c r="AX35" s="1044" t="s">
        <v>1779</v>
      </c>
      <c r="AZ35" s="994" t="s">
        <v>1780</v>
      </c>
      <c r="BE35" s="1044">
        <v>2031</v>
      </c>
      <c r="BL35" s="995" t="s">
        <v>1781</v>
      </c>
    </row>
    <row r="36" spans="1:66" ht="11.25" customHeight="1">
      <c r="A36" s="1787" t="s">
        <v>1782</v>
      </c>
      <c r="D36" s="1036" t="s">
        <v>1783</v>
      </c>
      <c r="E36" s="1037" t="s">
        <v>971</v>
      </c>
      <c r="F36" s="1038" t="str">
        <f>INDEX(E37:E41,MATCH(TEMPLATE_SPHERE,F37:F41,0))</f>
        <v>теплоснабжения</v>
      </c>
      <c r="G36" s="1038" t="str">
        <f>INDEX(G37:G41,MATCH(TEMPLATE_SPHERE,F37:F41,0))</f>
        <v>теплоснабжение</v>
      </c>
      <c r="O36" s="1001" t="s">
        <v>1533</v>
      </c>
      <c r="AX36" s="1044" t="s">
        <v>1784</v>
      </c>
      <c r="AZ36" s="1044" t="s">
        <v>1420</v>
      </c>
      <c r="BE36" s="1044">
        <v>2032</v>
      </c>
      <c r="BL36" s="995" t="s">
        <v>1785</v>
      </c>
    </row>
    <row r="37" spans="1:66" ht="11.25" customHeight="1">
      <c r="A37" s="1001" t="s">
        <v>1786</v>
      </c>
      <c r="E37" s="343" t="s">
        <v>1787</v>
      </c>
      <c r="F37" s="1039" t="s">
        <v>971</v>
      </c>
      <c r="G37" s="343" t="s">
        <v>1788</v>
      </c>
      <c r="O37" s="1001" t="s">
        <v>1552</v>
      </c>
      <c r="AX37" s="1044" t="s">
        <v>1789</v>
      </c>
      <c r="AZ37" s="1044" t="s">
        <v>1444</v>
      </c>
      <c r="BE37" s="1044">
        <v>2033</v>
      </c>
    </row>
    <row r="38" spans="1:66" ht="11.25" customHeight="1">
      <c r="A38" s="1001" t="s">
        <v>1790</v>
      </c>
      <c r="E38" s="343" t="s">
        <v>1791</v>
      </c>
      <c r="F38" s="1040" t="s">
        <v>1018</v>
      </c>
      <c r="G38" s="343" t="s">
        <v>1792</v>
      </c>
      <c r="O38" s="1001" t="s">
        <v>1568</v>
      </c>
      <c r="AX38" s="1044" t="s">
        <v>1793</v>
      </c>
      <c r="AZ38" s="1044" t="s">
        <v>1478</v>
      </c>
      <c r="BE38" s="1044">
        <v>2034</v>
      </c>
      <c r="BH38" s="994" t="s">
        <v>1794</v>
      </c>
      <c r="BJ38" s="994" t="s">
        <v>1795</v>
      </c>
      <c r="BL38" s="994" t="s">
        <v>1796</v>
      </c>
      <c r="BN38" s="994" t="s">
        <v>1797</v>
      </c>
    </row>
    <row r="39" spans="1:66" ht="11.25" customHeight="1">
      <c r="A39" s="1001" t="s">
        <v>1798</v>
      </c>
      <c r="E39" s="343" t="s">
        <v>1799</v>
      </c>
      <c r="F39" s="1040" t="s">
        <v>1071</v>
      </c>
      <c r="G39" s="343" t="s">
        <v>1800</v>
      </c>
      <c r="O39" s="1001" t="s">
        <v>1583</v>
      </c>
      <c r="AX39" s="1044" t="s">
        <v>1801</v>
      </c>
      <c r="AZ39" s="1044" t="s">
        <v>1512</v>
      </c>
      <c r="BE39" s="1044">
        <v>2035</v>
      </c>
      <c r="BH39" s="995" t="s">
        <v>1802</v>
      </c>
      <c r="BJ39" s="1140" t="s">
        <v>1802</v>
      </c>
      <c r="BL39" s="1140" t="s">
        <v>1802</v>
      </c>
      <c r="BN39" s="995" t="s">
        <v>1803</v>
      </c>
    </row>
    <row r="40" spans="1:66" ht="11.25" customHeight="1">
      <c r="A40" s="1001" t="s">
        <v>1804</v>
      </c>
      <c r="E40" s="343" t="s">
        <v>1805</v>
      </c>
      <c r="F40" s="1040" t="s">
        <v>1058</v>
      </c>
      <c r="G40" s="343" t="s">
        <v>1806</v>
      </c>
      <c r="O40" s="1001" t="s">
        <v>1597</v>
      </c>
      <c r="AX40" s="1044" t="s">
        <v>1807</v>
      </c>
      <c r="BE40" s="1044">
        <v>2036</v>
      </c>
      <c r="BH40" s="995" t="s">
        <v>1808</v>
      </c>
      <c r="BJ40" s="1140" t="s">
        <v>1228</v>
      </c>
      <c r="BL40" s="1140" t="s">
        <v>1228</v>
      </c>
      <c r="BN40" s="995" t="s">
        <v>1259</v>
      </c>
    </row>
    <row r="41" spans="1:66" ht="11.25" customHeight="1">
      <c r="A41" s="1001" t="s">
        <v>1809</v>
      </c>
      <c r="E41" s="343" t="s">
        <v>1810</v>
      </c>
      <c r="F41" s="1040" t="s">
        <v>1811</v>
      </c>
      <c r="G41" s="343" t="s">
        <v>1810</v>
      </c>
      <c r="O41" s="1001" t="s">
        <v>1612</v>
      </c>
      <c r="AX41" s="1044" t="s">
        <v>1812</v>
      </c>
      <c r="AZ41" s="994" t="s">
        <v>1813</v>
      </c>
      <c r="BE41" s="1044">
        <v>2037</v>
      </c>
      <c r="BH41" s="995" t="s">
        <v>1814</v>
      </c>
      <c r="BJ41" s="1140" t="s">
        <v>1226</v>
      </c>
      <c r="BL41" s="1140" t="s">
        <v>1226</v>
      </c>
      <c r="BN41" s="995" t="s">
        <v>1246</v>
      </c>
    </row>
    <row r="42" spans="1:66" ht="11.25" customHeight="1">
      <c r="A42" s="1001" t="s">
        <v>1815</v>
      </c>
      <c r="AX42" s="1044" t="s">
        <v>1816</v>
      </c>
      <c r="AZ42" s="1044" t="s">
        <v>1419</v>
      </c>
      <c r="BE42" s="1044">
        <v>2038</v>
      </c>
      <c r="BH42" s="995" t="s">
        <v>1243</v>
      </c>
      <c r="BJ42" s="1140" t="s">
        <v>1227</v>
      </c>
      <c r="BL42" s="1140" t="s">
        <v>1227</v>
      </c>
      <c r="BN42" s="995" t="s">
        <v>1817</v>
      </c>
    </row>
    <row r="43" spans="1:66" ht="11.25" customHeight="1">
      <c r="A43" s="1001" t="s">
        <v>1818</v>
      </c>
      <c r="AX43" s="1044" t="s">
        <v>1819</v>
      </c>
      <c r="AZ43" s="1044" t="s">
        <v>1442</v>
      </c>
      <c r="BE43" s="1044">
        <v>2039</v>
      </c>
      <c r="BH43" s="995" t="s">
        <v>1820</v>
      </c>
      <c r="BJ43" s="1140" t="s">
        <v>1814</v>
      </c>
      <c r="BL43" s="1140" t="s">
        <v>1814</v>
      </c>
      <c r="BN43" s="995" t="s">
        <v>1821</v>
      </c>
    </row>
    <row r="44" spans="1:66" ht="11.25" customHeight="1">
      <c r="A44" s="1001" t="s">
        <v>1822</v>
      </c>
      <c r="G44" s="1020">
        <f ca="1">YEAR(TODAY())</f>
        <v>2026</v>
      </c>
      <c r="I44" s="728" t="s">
        <v>1823</v>
      </c>
      <c r="J44" s="1016" t="s">
        <v>1824</v>
      </c>
      <c r="K44" s="1016" t="s">
        <v>1825</v>
      </c>
      <c r="AX44" s="1044" t="s">
        <v>1826</v>
      </c>
      <c r="AZ44" s="1044" t="s">
        <v>1477</v>
      </c>
      <c r="BE44" s="1044">
        <v>2040</v>
      </c>
      <c r="BH44" s="995" t="s">
        <v>1827</v>
      </c>
      <c r="BJ44" s="1140" t="s">
        <v>1243</v>
      </c>
      <c r="BL44" s="1140" t="s">
        <v>1243</v>
      </c>
      <c r="BN44" s="995" t="s">
        <v>1828</v>
      </c>
    </row>
    <row r="45" spans="1:66" ht="11.25" customHeight="1">
      <c r="A45" s="1001" t="s">
        <v>1829</v>
      </c>
      <c r="D45" s="1036" t="s">
        <v>1830</v>
      </c>
      <c r="E45" s="1037" t="s">
        <v>1831</v>
      </c>
      <c r="F45" s="726" t="s">
        <v>1832</v>
      </c>
      <c r="G45" s="725" t="s">
        <v>1833</v>
      </c>
      <c r="H45" s="728" t="s">
        <v>1834</v>
      </c>
      <c r="I45" s="1662" t="b">
        <f>INDEX(PeriodIsEmptyList,MATCH(TEMPLATE_GROUP,CodeTemplateList,0),1)</f>
        <v>0</v>
      </c>
      <c r="J45" s="1665"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66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4" t="s">
        <v>1835</v>
      </c>
      <c r="AZ45" s="1044" t="s">
        <v>1511</v>
      </c>
      <c r="BE45" s="1044">
        <v>2041</v>
      </c>
      <c r="BH45" s="995" t="s">
        <v>1836</v>
      </c>
      <c r="BJ45" s="1140" t="s">
        <v>1237</v>
      </c>
      <c r="BL45" s="1140" t="s">
        <v>1237</v>
      </c>
      <c r="BN45" s="995" t="s">
        <v>1837</v>
      </c>
    </row>
    <row r="46" spans="1:66" ht="11.25" customHeight="1">
      <c r="A46" s="1001" t="s">
        <v>1838</v>
      </c>
      <c r="E46" s="343" t="s">
        <v>27</v>
      </c>
      <c r="F46" s="1039" t="s">
        <v>1839</v>
      </c>
      <c r="G46" s="1041" t="str">
        <f ca="1">IFERROR(IF(TITLE_DATE_FIL="","01.01."&amp;CURRENT_YEAR,"01.01."&amp;YEAR(TITLE_DATE_FIL)),"01.01."&amp;CURRENT_YEAR)</f>
        <v>01.01.2026</v>
      </c>
      <c r="H46" s="1041" t="str">
        <f ca="1">IFERROR(IF(TITLE_DATE_FIL="","31.12."&amp;CURRENT_YEAR,"31.12."&amp;YEAR(TITLE_DATE_FIL)),"31.12."&amp;CURRENT_YEAR)</f>
        <v>31.12.2026</v>
      </c>
      <c r="I46" s="1663" t="b">
        <f>IF(TITLE_DATE_FIL="",TRUE,FALSE)</f>
        <v>1</v>
      </c>
      <c r="J46" s="1666" t="str">
        <f>"Общая информация о регулируемой организации ("&amp;TEMPLATE_SPHERE_RUS&amp;")"</f>
        <v>Общая информация о регулируемой организации (теплоснабжения)</v>
      </c>
      <c r="K46" s="1667"/>
      <c r="AX46" s="1044" t="s">
        <v>1840</v>
      </c>
      <c r="AZ46" s="1044" t="s">
        <v>1533</v>
      </c>
      <c r="BE46" s="1044">
        <v>2042</v>
      </c>
      <c r="BH46" s="995" t="s">
        <v>1246</v>
      </c>
      <c r="BJ46" s="1140" t="s">
        <v>1229</v>
      </c>
      <c r="BL46" s="1140" t="s">
        <v>1229</v>
      </c>
      <c r="BN46" s="995" t="s">
        <v>1841</v>
      </c>
    </row>
    <row r="47" spans="1:66" ht="11.25" customHeight="1">
      <c r="A47" s="1001" t="s">
        <v>1842</v>
      </c>
      <c r="E47" s="343" t="s">
        <v>33</v>
      </c>
      <c r="F47" s="1040" t="s">
        <v>1843</v>
      </c>
      <c r="G47" s="1041" t="str">
        <f>IFERROR(IF(f_year="","01.01."&amp;CURRENT_YEAR,IF(LEN(f_quart)=0,"01.01."&amp;f_year,IF(f_quart="I квартал","01.01."&amp;f_year,IF(f_quart="II квартал","01.04."&amp;f_year,(IF(f_quart="III квартал","01.07."&amp;f_year,"01.10."&amp;f_year)))))),"01.01."&amp;CURRENT_YEAR)</f>
        <v>01.01.2025</v>
      </c>
      <c r="H47" s="1041" t="str">
        <f>IFERROR(IF(f_year="","31.12."&amp;CURRENT_YEAR,IF(LEN(f_quart)=0,"31.12."&amp;f_year,IF(f_quart="I квартал","31.03."&amp;f_year,IF(f_quart="II квартал","30.06."&amp;f_year,(IF(f_quart="III квартал","30.09."&amp;f_year,"31.12."&amp;f_year)))))),"31.12."&amp;CURRENT_YEAR)</f>
        <v>31.12.2025</v>
      </c>
      <c r="I47" s="1664" t="b">
        <f>IF(OR(f_year="",f_quart=""),TRUE,FALSE)</f>
        <v>1</v>
      </c>
      <c r="J47" s="166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67"/>
      <c r="AX47" s="1044" t="s">
        <v>1844</v>
      </c>
      <c r="AZ47" s="1044" t="s">
        <v>1552</v>
      </c>
      <c r="BE47" s="1044">
        <v>2043</v>
      </c>
      <c r="BH47" s="995" t="s">
        <v>1817</v>
      </c>
      <c r="BJ47" s="1140" t="s">
        <v>1230</v>
      </c>
      <c r="BL47" s="1140" t="s">
        <v>1230</v>
      </c>
      <c r="BN47" s="995" t="s">
        <v>1845</v>
      </c>
    </row>
    <row r="48" spans="1:66" ht="11.25" customHeight="1">
      <c r="A48" s="1001" t="s">
        <v>1846</v>
      </c>
      <c r="E48" s="343" t="s">
        <v>1847</v>
      </c>
      <c r="F48" s="1040" t="s">
        <v>1831</v>
      </c>
      <c r="G48" s="1041" t="str">
        <f>IFERROR(IF(f_year="","01.01."&amp;CURRENT_YEAR,"01.01."&amp;f_year),"01.01."&amp;CURRENT_YEAR)</f>
        <v>01.01.2025</v>
      </c>
      <c r="H48" s="1041" t="str">
        <f>IFERROR(IF(f_year="","31.12."&amp;CURRENT_YEAR,"31.12."&amp;f_year),"31.12."&amp;CURRENT_YEAR)</f>
        <v>31.12.2025</v>
      </c>
      <c r="I48" s="1663" t="b">
        <f>IF(f_year="",TRUE,FALSE)</f>
        <v>0</v>
      </c>
      <c r="J48" s="1666" t="s">
        <v>1848</v>
      </c>
      <c r="K48" s="1667"/>
      <c r="AX48" s="1044" t="s">
        <v>1849</v>
      </c>
      <c r="AZ48" s="1044" t="s">
        <v>1568</v>
      </c>
      <c r="BE48" s="1044">
        <v>2044</v>
      </c>
      <c r="BH48" s="995" t="s">
        <v>1821</v>
      </c>
      <c r="BJ48" s="1140" t="s">
        <v>1231</v>
      </c>
      <c r="BL48" s="1140" t="s">
        <v>1231</v>
      </c>
      <c r="BN48" s="995" t="s">
        <v>1850</v>
      </c>
    </row>
    <row r="49" spans="1:64" ht="11.25" customHeight="1">
      <c r="A49" s="1001" t="s">
        <v>1851</v>
      </c>
      <c r="E49" s="343" t="s">
        <v>1852</v>
      </c>
      <c r="F49" s="1040" t="s">
        <v>1853</v>
      </c>
      <c r="G49" s="1041" t="str">
        <f>IFERROR(IF(f_year="","01.01."&amp;CURRENT_YEAR,"01.01."&amp;f_year),"01.01."&amp;CURRENT_YEAR)</f>
        <v>01.01.2025</v>
      </c>
      <c r="H49" s="1041" t="str">
        <f>IFERROR(IF(f_year="","31.12."&amp;CURRENT_YEAR,"31.12."&amp;f_year),"31.12."&amp;CURRENT_YEAR)</f>
        <v>31.12.2025</v>
      </c>
      <c r="I49" s="1663" t="b">
        <f>IF(f_year="",TRUE,FALSE)</f>
        <v>0</v>
      </c>
      <c r="J49" s="166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67"/>
      <c r="AX49" s="1044" t="s">
        <v>1854</v>
      </c>
      <c r="AZ49" s="1044" t="s">
        <v>1583</v>
      </c>
      <c r="BE49" s="1044">
        <v>2045</v>
      </c>
      <c r="BH49" s="995" t="s">
        <v>1247</v>
      </c>
      <c r="BJ49" s="1140" t="s">
        <v>1233</v>
      </c>
      <c r="BL49" s="1140" t="s">
        <v>1233</v>
      </c>
    </row>
    <row r="50" spans="1:64" ht="11.25" customHeight="1">
      <c r="A50" s="1001" t="s">
        <v>1855</v>
      </c>
      <c r="E50" s="343" t="s">
        <v>1856</v>
      </c>
      <c r="F50" s="1040" t="s">
        <v>1223</v>
      </c>
      <c r="G50" s="1041" t="str">
        <f>IFERROR(IF(f_year="","01.01."&amp;CURRENT_YEAR,"01.01."&amp;f_year),"01.01."&amp;CURRENT_YEAR)</f>
        <v>01.01.2025</v>
      </c>
      <c r="H50" s="1041" t="str">
        <f>IFERROR(IF(f_year="","31.12."&amp;CURRENT_YEAR,"31.12."&amp;f_year),"31.12."&amp;CURRENT_YEAR)</f>
        <v>31.12.2025</v>
      </c>
      <c r="I50" s="1663" t="b">
        <f>IF(f_year="",TRUE,FALSE)</f>
        <v>0</v>
      </c>
      <c r="J50" s="166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67"/>
      <c r="AX50" s="1044" t="s">
        <v>1857</v>
      </c>
      <c r="AZ50" s="1044" t="s">
        <v>1597</v>
      </c>
      <c r="BE50" s="1044">
        <v>2046</v>
      </c>
      <c r="BH50" s="995" t="s">
        <v>1828</v>
      </c>
      <c r="BJ50" s="1140" t="s">
        <v>1235</v>
      </c>
      <c r="BL50" s="1140" t="s">
        <v>1235</v>
      </c>
    </row>
    <row r="51" spans="1:64" ht="11.25" customHeight="1">
      <c r="A51" s="1001" t="s">
        <v>1858</v>
      </c>
      <c r="E51" s="343" t="s">
        <v>1859</v>
      </c>
      <c r="F51" s="1040" t="s">
        <v>1860</v>
      </c>
      <c r="G51" s="1041" t="str">
        <f ca="1">IFERROR(IF(TITLE_PERIOD_START="","01.01."&amp;CURRENT_YEAR,"01.01."&amp;YEAR(TITLE_PERIOD_START)),"01.01."&amp;CURRENT_YEAR)</f>
        <v>01.01.2026</v>
      </c>
      <c r="H51" s="1041" t="str">
        <f ca="1">IFERROR(IF(TITLE_PERIOD_END="","31.12."&amp;CURRENT_YEAR,"31.12."&amp;YEAR(TITLE_PERIOD_END)),"31.12."&amp;CURRENT_YEAR)</f>
        <v>31.12.2026</v>
      </c>
      <c r="I51" s="1664" t="b">
        <f>IF(OR(TITLE_PERIOD_START="",TITLE_PERIOD_END=""),TRUE,FALSE)</f>
        <v>1</v>
      </c>
      <c r="J51" s="166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67"/>
      <c r="AX51" s="1044" t="s">
        <v>1861</v>
      </c>
      <c r="AZ51" s="1044" t="s">
        <v>1612</v>
      </c>
      <c r="BE51" s="1044">
        <v>2047</v>
      </c>
      <c r="BH51" s="995" t="s">
        <v>1837</v>
      </c>
      <c r="BJ51" s="1140" t="s">
        <v>1862</v>
      </c>
      <c r="BL51" s="1140" t="s">
        <v>1862</v>
      </c>
    </row>
    <row r="52" spans="1:64" ht="11.25" customHeight="1">
      <c r="A52" s="1001" t="s">
        <v>1863</v>
      </c>
      <c r="E52" s="343" t="s">
        <v>1864</v>
      </c>
      <c r="F52" s="1040" t="s">
        <v>1865</v>
      </c>
      <c r="G52" s="1041" t="str">
        <f ca="1">IFERROR(IF(TITLE_PERIOD_START="","01.01."&amp;CURRENT_YEAR,"01.01."&amp;YEAR(TITLE_PERIOD_START)),"01.01."&amp;CURRENT_YEAR)</f>
        <v>01.01.2026</v>
      </c>
      <c r="H52" s="1041" t="str">
        <f ca="1">IFERROR(IF(TITLE_PERIOD_END="","31.12."&amp;CURRENT_YEAR,"31.12."&amp;YEAR(TITLE_PERIOD_END)),"31.12."&amp;CURRENT_YEAR)</f>
        <v>31.12.2026</v>
      </c>
      <c r="I52" s="1664" t="b">
        <f>IF(OR(TITLE_PERIOD_START="",TITLE_PERIOD_END=""),TRUE,FALSE)</f>
        <v>1</v>
      </c>
      <c r="J52" s="1666" t="str">
        <f>"Показатели, подлежащие раскрытию в сфере "&amp;TEMPLATE_SPHERE_RUS&amp;" (цены и тарифы)"</f>
        <v>Показатели, подлежащие раскрытию в сфере теплоснабжения (цены и тарифы)</v>
      </c>
      <c r="K52" s="1667"/>
      <c r="AX52" s="1044" t="s">
        <v>1866</v>
      </c>
      <c r="AZ52" s="1044" t="s">
        <v>1420</v>
      </c>
      <c r="BE52" s="1044">
        <v>2048</v>
      </c>
      <c r="BH52" s="995" t="s">
        <v>1841</v>
      </c>
      <c r="BJ52" s="1140" t="s">
        <v>1246</v>
      </c>
      <c r="BL52" s="1140" t="s">
        <v>1246</v>
      </c>
    </row>
    <row r="53" spans="1:64" ht="11.25" customHeight="1">
      <c r="A53" s="1001" t="s">
        <v>1867</v>
      </c>
      <c r="E53" s="343" t="s">
        <v>1868</v>
      </c>
      <c r="F53" s="1040" t="s">
        <v>1868</v>
      </c>
      <c r="G53" s="1041" t="str">
        <f>IFERROR(IF(f_year="","01.01."&amp;CURRENT_YEAR,"01.01."&amp;f_year),"01.01."&amp;CURRENT_YEAR)</f>
        <v>01.01.2025</v>
      </c>
      <c r="H53" s="1041" t="str">
        <f>IFERROR(IF(f_year="","31.12."&amp;CURRENT_YEAR,"31.12."&amp;f_year),"31.12."&amp;CURRENT_YEAR)</f>
        <v>31.12.2025</v>
      </c>
      <c r="I53" s="1663" t="b">
        <f>IF(AND(f_year="",TITLE_DATE_FIL=""),TRUE,FALSE)</f>
        <v>0</v>
      </c>
      <c r="J53" s="1666" t="s">
        <v>1869</v>
      </c>
      <c r="K53" s="1667"/>
      <c r="AX53" s="1044" t="s">
        <v>1870</v>
      </c>
      <c r="BE53" s="1044">
        <v>2049</v>
      </c>
      <c r="BH53" s="995" t="s">
        <v>1845</v>
      </c>
      <c r="BJ53" s="1140" t="s">
        <v>1817</v>
      </c>
      <c r="BL53" s="1140" t="s">
        <v>1817</v>
      </c>
    </row>
    <row r="54" spans="1:64" ht="11.25" customHeight="1">
      <c r="A54" s="1001" t="s">
        <v>1871</v>
      </c>
      <c r="AX54" s="1044" t="s">
        <v>1872</v>
      </c>
      <c r="AZ54" s="994" t="s">
        <v>1873</v>
      </c>
      <c r="BE54" s="1044">
        <v>2050</v>
      </c>
      <c r="BH54" s="995" t="s">
        <v>1850</v>
      </c>
      <c r="BJ54" s="1140" t="s">
        <v>1821</v>
      </c>
      <c r="BL54" s="1140" t="s">
        <v>1821</v>
      </c>
    </row>
    <row r="55" spans="1:64" ht="11.25" customHeight="1">
      <c r="A55" s="1001" t="s">
        <v>1874</v>
      </c>
      <c r="AX55" s="1044" t="s">
        <v>1875</v>
      </c>
      <c r="AZ55" s="1044" t="s">
        <v>1422</v>
      </c>
      <c r="BE55" s="1044">
        <v>2051</v>
      </c>
      <c r="BH55" s="997" t="s">
        <v>22</v>
      </c>
      <c r="BJ55" s="1140" t="s">
        <v>1247</v>
      </c>
      <c r="BL55" s="1140" t="s">
        <v>1247</v>
      </c>
    </row>
    <row r="56" spans="1:64" ht="11.25" customHeight="1">
      <c r="A56" s="1001" t="s">
        <v>1876</v>
      </c>
      <c r="D56" s="1043" t="s">
        <v>1877</v>
      </c>
      <c r="E56" s="1021" t="s">
        <v>1870</v>
      </c>
      <c r="F56" s="1001" t="s">
        <v>1878</v>
      </c>
      <c r="AX56" s="1044" t="s">
        <v>1879</v>
      </c>
      <c r="AZ56" s="1044" t="s">
        <v>1446</v>
      </c>
      <c r="BE56" s="1044">
        <v>2052</v>
      </c>
      <c r="BH56" s="997" t="s">
        <v>22</v>
      </c>
      <c r="BJ56" s="1140" t="s">
        <v>1828</v>
      </c>
      <c r="BL56" s="1140" t="s">
        <v>1828</v>
      </c>
    </row>
    <row r="57" spans="1:64" ht="11.25" customHeight="1">
      <c r="A57" s="1001" t="s">
        <v>1880</v>
      </c>
      <c r="D57" s="1043" t="s">
        <v>1881</v>
      </c>
      <c r="E57" s="1021" t="s">
        <v>1882</v>
      </c>
      <c r="F57" s="1001" t="s">
        <v>1878</v>
      </c>
      <c r="AX57" s="1044" t="s">
        <v>1883</v>
      </c>
      <c r="AZ57" s="1044" t="s">
        <v>1480</v>
      </c>
      <c r="BE57" s="1044">
        <v>2053</v>
      </c>
      <c r="BJ57" s="1140" t="s">
        <v>1837</v>
      </c>
      <c r="BL57" s="1140" t="s">
        <v>1837</v>
      </c>
    </row>
    <row r="58" spans="1:64" ht="11.25" customHeight="1">
      <c r="A58" s="1001" t="s">
        <v>1884</v>
      </c>
      <c r="D58" s="1043" t="s">
        <v>1885</v>
      </c>
      <c r="E58" s="1021" t="s">
        <v>1870</v>
      </c>
      <c r="F58" s="1001" t="s">
        <v>1878</v>
      </c>
      <c r="AX58" s="1044" t="s">
        <v>1886</v>
      </c>
      <c r="BE58" s="1044">
        <v>2054</v>
      </c>
      <c r="BJ58" s="1140" t="s">
        <v>1841</v>
      </c>
      <c r="BL58" s="1140" t="s">
        <v>1841</v>
      </c>
    </row>
    <row r="59" spans="1:64" ht="11.25" customHeight="1">
      <c r="A59" s="1001" t="s">
        <v>1887</v>
      </c>
      <c r="D59" s="1043" t="s">
        <v>152</v>
      </c>
      <c r="E59" s="1021" t="s">
        <v>1773</v>
      </c>
      <c r="F59" s="1001" t="s">
        <v>1888</v>
      </c>
      <c r="AX59" s="1044" t="s">
        <v>1889</v>
      </c>
      <c r="AZ59" s="994" t="s">
        <v>1890</v>
      </c>
      <c r="BE59" s="1044">
        <v>2055</v>
      </c>
      <c r="BJ59" s="1140" t="s">
        <v>1845</v>
      </c>
      <c r="BL59" s="1140" t="s">
        <v>1845</v>
      </c>
    </row>
    <row r="60" spans="1:64" ht="11.25" customHeight="1">
      <c r="A60" s="1001" t="s">
        <v>1891</v>
      </c>
      <c r="D60" s="1043" t="s">
        <v>1892</v>
      </c>
      <c r="E60" s="1021" t="s">
        <v>1773</v>
      </c>
      <c r="F60" s="1001" t="s">
        <v>1888</v>
      </c>
      <c r="AX60" s="1044" t="s">
        <v>114</v>
      </c>
      <c r="AZ60" s="1044" t="s">
        <v>1423</v>
      </c>
      <c r="BE60" s="1044">
        <v>2056</v>
      </c>
      <c r="BJ60" s="1140" t="s">
        <v>1850</v>
      </c>
      <c r="BL60" s="1140" t="s">
        <v>1850</v>
      </c>
    </row>
    <row r="61" spans="1:64" ht="11.25" customHeight="1">
      <c r="A61" s="1001" t="s">
        <v>1893</v>
      </c>
      <c r="D61" s="1043" t="s">
        <v>1894</v>
      </c>
      <c r="E61" s="1021" t="s">
        <v>1773</v>
      </c>
      <c r="F61" s="1001" t="s">
        <v>1888</v>
      </c>
      <c r="AX61" s="1044" t="s">
        <v>1895</v>
      </c>
      <c r="AZ61" s="1044" t="s">
        <v>1447</v>
      </c>
      <c r="BE61" s="1044">
        <v>2057</v>
      </c>
      <c r="BL61" s="1140" t="s">
        <v>1239</v>
      </c>
    </row>
    <row r="62" spans="1:64" ht="11.25" customHeight="1">
      <c r="A62" s="1001" t="s">
        <v>1896</v>
      </c>
      <c r="D62" s="1043" t="s">
        <v>151</v>
      </c>
      <c r="E62" s="1021">
        <v>30</v>
      </c>
      <c r="F62" s="1001" t="s">
        <v>1888</v>
      </c>
      <c r="AZ62" s="1044" t="s">
        <v>1481</v>
      </c>
      <c r="BE62" s="1044">
        <v>2058</v>
      </c>
      <c r="BL62" s="1140" t="s">
        <v>1241</v>
      </c>
    </row>
    <row r="63" spans="1:64" ht="11.25" customHeight="1">
      <c r="A63" s="1001" t="s">
        <v>1897</v>
      </c>
      <c r="D63" s="1043" t="s">
        <v>1898</v>
      </c>
      <c r="E63" s="1021">
        <v>30</v>
      </c>
      <c r="F63" s="1001" t="s">
        <v>1888</v>
      </c>
      <c r="AZ63" s="1044" t="s">
        <v>1513</v>
      </c>
      <c r="BE63" s="1044">
        <v>2059</v>
      </c>
    </row>
    <row r="64" spans="1:64" ht="11.25" customHeight="1">
      <c r="A64" s="1001" t="s">
        <v>1899</v>
      </c>
      <c r="D64" s="1043" t="s">
        <v>1900</v>
      </c>
      <c r="E64" s="1021">
        <v>30</v>
      </c>
      <c r="F64" s="1001" t="s">
        <v>1888</v>
      </c>
      <c r="AZ64" s="1044" t="s">
        <v>1534</v>
      </c>
      <c r="BE64" s="1044">
        <v>2060</v>
      </c>
    </row>
    <row r="65" spans="1:66" ht="11.25" customHeight="1">
      <c r="A65" s="1001" t="s">
        <v>1901</v>
      </c>
      <c r="D65" s="1001"/>
      <c r="BE65" s="1044">
        <v>2061</v>
      </c>
    </row>
    <row r="66" spans="1:66" ht="11.25" customHeight="1">
      <c r="A66" s="1001" t="s">
        <v>1902</v>
      </c>
      <c r="AZ66" s="994" t="s">
        <v>1903</v>
      </c>
      <c r="BE66" s="1044">
        <v>2062</v>
      </c>
    </row>
    <row r="67" spans="1:66" ht="11.25" customHeight="1">
      <c r="A67" s="1001" t="s">
        <v>1904</v>
      </c>
      <c r="AZ67" s="1044" t="s">
        <v>1424</v>
      </c>
      <c r="BE67" s="1044">
        <v>2063</v>
      </c>
    </row>
    <row r="68" spans="1:66" ht="11.25" customHeight="1">
      <c r="A68" s="1001" t="s">
        <v>1905</v>
      </c>
      <c r="AZ68" s="1044" t="s">
        <v>1448</v>
      </c>
      <c r="BE68" s="1044">
        <v>2064</v>
      </c>
      <c r="BH68" s="994" t="s">
        <v>1906</v>
      </c>
      <c r="BJ68" s="994" t="s">
        <v>1907</v>
      </c>
      <c r="BL68" s="994" t="s">
        <v>1908</v>
      </c>
      <c r="BN68" s="994" t="s">
        <v>1909</v>
      </c>
    </row>
    <row r="69" spans="1:66" ht="11.25" customHeight="1">
      <c r="A69" s="1001" t="s">
        <v>1910</v>
      </c>
      <c r="AZ69" s="1044" t="s">
        <v>1482</v>
      </c>
      <c r="BE69" s="1044">
        <v>2065</v>
      </c>
      <c r="BH69" s="995" t="s">
        <v>1195</v>
      </c>
      <c r="BI69" s="1042" t="s">
        <v>100</v>
      </c>
      <c r="BJ69" s="995" t="s">
        <v>1911</v>
      </c>
      <c r="BK69" s="1042" t="s">
        <v>100</v>
      </c>
      <c r="BL69" s="995" t="s">
        <v>1912</v>
      </c>
      <c r="BM69" s="997" t="s">
        <v>100</v>
      </c>
      <c r="BN69" s="995" t="s">
        <v>1913</v>
      </c>
    </row>
    <row r="70" spans="1:66" ht="11.25" customHeight="1">
      <c r="A70" s="1001" t="s">
        <v>1914</v>
      </c>
      <c r="AZ70" s="1044" t="s">
        <v>1514</v>
      </c>
      <c r="BE70" s="1044">
        <v>2066</v>
      </c>
      <c r="BH70" s="995" t="s">
        <v>1207</v>
      </c>
      <c r="BJ70" s="995" t="s">
        <v>1915</v>
      </c>
      <c r="BL70" s="995" t="s">
        <v>1916</v>
      </c>
      <c r="BN70" s="995" t="s">
        <v>1917</v>
      </c>
    </row>
    <row r="71" spans="1:66" ht="11.25" customHeight="1">
      <c r="A71" s="1001" t="s">
        <v>1918</v>
      </c>
      <c r="AZ71" s="1044" t="s">
        <v>1516</v>
      </c>
      <c r="BE71" s="1044">
        <v>2067</v>
      </c>
      <c r="BH71" s="995" t="s">
        <v>1210</v>
      </c>
      <c r="BI71" s="1042" t="s">
        <v>91</v>
      </c>
      <c r="BJ71" s="995" t="s">
        <v>1919</v>
      </c>
      <c r="BK71" s="1042" t="s">
        <v>91</v>
      </c>
      <c r="BL71" s="995" t="s">
        <v>1920</v>
      </c>
      <c r="BM71" s="997" t="s">
        <v>91</v>
      </c>
      <c r="BN71" s="995" t="s">
        <v>1921</v>
      </c>
    </row>
    <row r="72" spans="1:66" ht="11.25" customHeight="1">
      <c r="A72" s="1001" t="s">
        <v>1922</v>
      </c>
      <c r="AZ72" s="1044" t="s">
        <v>19</v>
      </c>
      <c r="BE72" s="1044">
        <v>2068</v>
      </c>
      <c r="BH72" s="995" t="s">
        <v>1923</v>
      </c>
      <c r="BJ72" s="995" t="s">
        <v>1923</v>
      </c>
      <c r="BL72" s="995" t="s">
        <v>1923</v>
      </c>
      <c r="BN72" s="995" t="s">
        <v>1924</v>
      </c>
    </row>
    <row r="73" spans="1:66" ht="11.25" customHeight="1">
      <c r="A73" s="1001" t="s">
        <v>1925</v>
      </c>
      <c r="BE73" s="1044">
        <v>2069</v>
      </c>
      <c r="BH73" s="995" t="s">
        <v>1926</v>
      </c>
      <c r="BI73" s="1042" t="s">
        <v>123</v>
      </c>
      <c r="BJ73" s="995" t="s">
        <v>1927</v>
      </c>
      <c r="BK73" s="1042" t="s">
        <v>123</v>
      </c>
      <c r="BL73" s="995" t="s">
        <v>1928</v>
      </c>
      <c r="BM73" s="997" t="s">
        <v>123</v>
      </c>
      <c r="BN73" s="995" t="s">
        <v>1929</v>
      </c>
    </row>
    <row r="74" spans="1:66" ht="11.25" customHeight="1">
      <c r="A74" s="1001" t="s">
        <v>1930</v>
      </c>
      <c r="BE74" s="1044">
        <v>2070</v>
      </c>
      <c r="BH74" s="995" t="s">
        <v>1216</v>
      </c>
      <c r="BJ74" s="995" t="s">
        <v>1931</v>
      </c>
      <c r="BL74" s="995" t="s">
        <v>1932</v>
      </c>
      <c r="BN74" s="995" t="s">
        <v>1933</v>
      </c>
    </row>
    <row r="75" spans="1:66" ht="11.25" customHeight="1">
      <c r="A75" s="1001" t="s">
        <v>1934</v>
      </c>
      <c r="AZ75" s="994" t="s">
        <v>1935</v>
      </c>
      <c r="BH75" s="995" t="s">
        <v>1936</v>
      </c>
      <c r="BJ75" s="995" t="s">
        <v>1936</v>
      </c>
      <c r="BL75" s="995" t="s">
        <v>1936</v>
      </c>
    </row>
    <row r="76" spans="1:66" ht="11.25" customHeight="1">
      <c r="A76" s="1001" t="s">
        <v>1937</v>
      </c>
      <c r="AZ76" s="1044" t="s">
        <v>1433</v>
      </c>
      <c r="BH76" s="995" t="s">
        <v>1218</v>
      </c>
      <c r="BJ76" s="995" t="s">
        <v>1938</v>
      </c>
      <c r="BL76" s="995" t="s">
        <v>1939</v>
      </c>
    </row>
    <row r="77" spans="1:66" ht="11.25" customHeight="1">
      <c r="A77" s="1001" t="s">
        <v>1940</v>
      </c>
      <c r="AZ77" s="1044" t="s">
        <v>1458</v>
      </c>
    </row>
    <row r="78" spans="1:66" ht="11.25" customHeight="1">
      <c r="A78" s="1001" t="s">
        <v>1941</v>
      </c>
      <c r="AZ78" s="1044" t="s">
        <v>1489</v>
      </c>
    </row>
    <row r="79" spans="1:66" ht="11.25" customHeight="1">
      <c r="A79" s="1001" t="s">
        <v>1942</v>
      </c>
      <c r="AZ79" s="1044" t="s">
        <v>1520</v>
      </c>
      <c r="BH79" s="994" t="s">
        <v>1194</v>
      </c>
      <c r="BJ79" s="994" t="s">
        <v>1943</v>
      </c>
      <c r="BL79" s="994" t="s">
        <v>1944</v>
      </c>
    </row>
    <row r="80" spans="1:66" ht="11.25" customHeight="1">
      <c r="A80" s="1001" t="s">
        <v>1945</v>
      </c>
      <c r="AZ80" s="1044" t="s">
        <v>1539</v>
      </c>
      <c r="BH80" s="995" t="s">
        <v>1196</v>
      </c>
      <c r="BJ80" s="995" t="s">
        <v>1946</v>
      </c>
      <c r="BL80" s="995" t="s">
        <v>1947</v>
      </c>
    </row>
    <row r="81" spans="1:66" ht="11.25" customHeight="1">
      <c r="A81" s="1001" t="s">
        <v>1948</v>
      </c>
      <c r="AZ81" s="1044" t="s">
        <v>1556</v>
      </c>
      <c r="BH81" s="995" t="s">
        <v>1949</v>
      </c>
      <c r="BJ81" s="995" t="s">
        <v>1950</v>
      </c>
      <c r="BL81" s="995" t="s">
        <v>1951</v>
      </c>
    </row>
    <row r="82" spans="1:66" ht="11.25" customHeight="1">
      <c r="A82" s="1001" t="s">
        <v>1952</v>
      </c>
      <c r="AZ82" s="1044" t="s">
        <v>1570</v>
      </c>
      <c r="BH82" s="995" t="s">
        <v>1204</v>
      </c>
      <c r="BJ82" s="995" t="s">
        <v>1953</v>
      </c>
      <c r="BL82" s="995" t="s">
        <v>1954</v>
      </c>
    </row>
    <row r="83" spans="1:66" ht="11.25" customHeight="1">
      <c r="A83" s="1001" t="s">
        <v>1955</v>
      </c>
      <c r="BH83" s="995" t="s">
        <v>1956</v>
      </c>
      <c r="BJ83" s="995" t="s">
        <v>1957</v>
      </c>
      <c r="BL83" s="995" t="s">
        <v>1958</v>
      </c>
    </row>
    <row r="84" spans="1:66" ht="11.25" customHeight="1">
      <c r="A84" s="1001" t="s">
        <v>1959</v>
      </c>
      <c r="AZ84" s="994" t="s">
        <v>1960</v>
      </c>
    </row>
    <row r="85" spans="1:66" ht="11.25" customHeight="1">
      <c r="A85" s="1787" t="s">
        <v>1961</v>
      </c>
      <c r="AZ85" s="1044" t="s">
        <v>1962</v>
      </c>
    </row>
    <row r="86" spans="1:66" ht="11.25" customHeight="1">
      <c r="A86" s="1001" t="s">
        <v>1963</v>
      </c>
      <c r="AZ86" s="1044" t="s">
        <v>1964</v>
      </c>
      <c r="BH86" s="994" t="s">
        <v>1209</v>
      </c>
      <c r="BJ86" s="994" t="s">
        <v>1965</v>
      </c>
      <c r="BL86" s="994" t="s">
        <v>1966</v>
      </c>
    </row>
    <row r="87" spans="1:66" ht="11.25" customHeight="1">
      <c r="A87" s="1001" t="s">
        <v>1967</v>
      </c>
      <c r="AZ87" s="1044" t="s">
        <v>1968</v>
      </c>
      <c r="BH87" s="995" t="s">
        <v>1211</v>
      </c>
      <c r="BJ87" s="995" t="s">
        <v>1969</v>
      </c>
      <c r="BL87" s="995" t="s">
        <v>1970</v>
      </c>
    </row>
    <row r="88" spans="1:66" ht="11.25" customHeight="1">
      <c r="A88" s="1001" t="s">
        <v>1971</v>
      </c>
      <c r="AZ88" s="1529"/>
      <c r="BH88" s="995" t="s">
        <v>1214</v>
      </c>
      <c r="BJ88" s="995" t="s">
        <v>1972</v>
      </c>
      <c r="BL88" s="995" t="s">
        <v>1973</v>
      </c>
    </row>
    <row r="89" spans="1:66" ht="11.25" customHeight="1">
      <c r="A89" s="1001" t="s">
        <v>1974</v>
      </c>
      <c r="AZ89" s="994" t="s">
        <v>1975</v>
      </c>
    </row>
    <row r="90" spans="1:66" ht="11.25" customHeight="1">
      <c r="A90" s="1001" t="s">
        <v>1976</v>
      </c>
      <c r="AZ90" s="1044" t="s">
        <v>1223</v>
      </c>
    </row>
    <row r="91" spans="1:66" ht="11.25" customHeight="1">
      <c r="A91" s="1001" t="s">
        <v>1977</v>
      </c>
      <c r="AZ91" s="1044" t="s">
        <v>1253</v>
      </c>
      <c r="BH91" s="994" t="s">
        <v>1978</v>
      </c>
      <c r="BJ91" s="994" t="s">
        <v>1979</v>
      </c>
      <c r="BL91" s="994" t="s">
        <v>1980</v>
      </c>
    </row>
    <row r="92" spans="1:66" ht="11.25" customHeight="1">
      <c r="AZ92" s="1044" t="s">
        <v>1981</v>
      </c>
      <c r="BH92" s="995" t="s">
        <v>1982</v>
      </c>
      <c r="BJ92" s="995" t="s">
        <v>1983</v>
      </c>
      <c r="BL92" s="995" t="s">
        <v>1984</v>
      </c>
    </row>
    <row r="93" spans="1:66" ht="11.25" customHeight="1">
      <c r="AZ93" s="1044" t="s">
        <v>1985</v>
      </c>
      <c r="BH93" s="995" t="s">
        <v>1986</v>
      </c>
      <c r="BJ93" s="995" t="s">
        <v>1987</v>
      </c>
      <c r="BL93" s="995" t="s">
        <v>1988</v>
      </c>
    </row>
    <row r="94" spans="1:66" ht="11.25" customHeight="1">
      <c r="AZ94" s="1044" t="s">
        <v>1989</v>
      </c>
    </row>
    <row r="96" spans="1:66" ht="11.25" customHeight="1">
      <c r="AZ96" s="994" t="s">
        <v>1990</v>
      </c>
      <c r="BH96" s="994" t="s">
        <v>1991</v>
      </c>
      <c r="BJ96" s="994" t="s">
        <v>1992</v>
      </c>
      <c r="BL96" s="994" t="s">
        <v>1993</v>
      </c>
      <c r="BN96" s="994" t="s">
        <v>1994</v>
      </c>
    </row>
    <row r="97" spans="52:66" ht="11.25" customHeight="1">
      <c r="AZ97" s="1818" t="s">
        <v>1995</v>
      </c>
      <c r="BA97" s="1819" t="s">
        <v>1996</v>
      </c>
      <c r="BH97" s="995" t="s">
        <v>1997</v>
      </c>
      <c r="BJ97" s="995" t="s">
        <v>1998</v>
      </c>
      <c r="BL97" s="995" t="s">
        <v>1999</v>
      </c>
      <c r="BN97" s="995" t="s">
        <v>2000</v>
      </c>
    </row>
    <row r="98" spans="52:66" ht="11.25" customHeight="1">
      <c r="AZ98" s="1818" t="s">
        <v>2001</v>
      </c>
      <c r="BA98" s="1819" t="s">
        <v>2002</v>
      </c>
      <c r="BH98" s="995" t="s">
        <v>2003</v>
      </c>
      <c r="BJ98" s="995" t="s">
        <v>2004</v>
      </c>
      <c r="BL98" s="995" t="s">
        <v>2005</v>
      </c>
      <c r="BN98" s="995" t="s">
        <v>2006</v>
      </c>
    </row>
    <row r="99" spans="52:66" ht="22.5" customHeight="1">
      <c r="AZ99" s="1818" t="s">
        <v>2007</v>
      </c>
      <c r="BA99" s="1819"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5" t="s">
        <v>2008</v>
      </c>
      <c r="BJ99" s="995" t="s">
        <v>2009</v>
      </c>
      <c r="BL99" s="995" t="s">
        <v>2010</v>
      </c>
      <c r="BN99" s="995" t="s">
        <v>2011</v>
      </c>
    </row>
    <row r="100" spans="52:66" ht="22.5" customHeight="1">
      <c r="AZ100" s="1818" t="s">
        <v>2012</v>
      </c>
      <c r="BA100" s="181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5" t="s">
        <v>1612</v>
      </c>
      <c r="BL100" s="995" t="s">
        <v>1612</v>
      </c>
      <c r="BN100" s="995" t="s">
        <v>2013</v>
      </c>
    </row>
    <row r="101" spans="52:66" ht="22.5" customHeight="1">
      <c r="AZ101" s="1818" t="s">
        <v>2014</v>
      </c>
      <c r="BA101" s="1819" t="s">
        <v>2015</v>
      </c>
      <c r="BN101" s="995" t="s">
        <v>2016</v>
      </c>
    </row>
    <row r="102" spans="52:66" ht="22.5" customHeight="1">
      <c r="AZ102" s="1818" t="s">
        <v>2017</v>
      </c>
      <c r="BA102" s="181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5" t="s">
        <v>2018</v>
      </c>
    </row>
    <row r="103" spans="52:66" ht="11.25" customHeight="1">
      <c r="AZ103" s="1818" t="s">
        <v>2019</v>
      </c>
      <c r="BA103" s="1819" t="s">
        <v>2020</v>
      </c>
      <c r="BN103" s="995" t="s">
        <v>2021</v>
      </c>
    </row>
    <row r="104" spans="52:66" ht="11.25" customHeight="1">
      <c r="BN104" s="995" t="s">
        <v>2022</v>
      </c>
    </row>
    <row r="105" spans="52:66" ht="11.25" customHeight="1">
      <c r="AZ105" s="1614" t="s">
        <v>2023</v>
      </c>
    </row>
    <row r="106" spans="52:66" ht="11.25" customHeight="1">
      <c r="AZ106" s="1044" t="s">
        <v>2024</v>
      </c>
    </row>
    <row r="107" spans="52:66" ht="11.25" customHeight="1">
      <c r="AZ107" s="1044" t="s">
        <v>2025</v>
      </c>
      <c r="BH107" s="994" t="s">
        <v>2026</v>
      </c>
      <c r="BJ107" s="994" t="s">
        <v>2027</v>
      </c>
      <c r="BL107" s="994" t="s">
        <v>2028</v>
      </c>
      <c r="BN107" s="994" t="s">
        <v>2029</v>
      </c>
    </row>
    <row r="108" spans="52:66" ht="11.25" customHeight="1">
      <c r="AZ108" s="1044" t="s">
        <v>596</v>
      </c>
      <c r="BH108" s="995" t="s">
        <v>2030</v>
      </c>
      <c r="BJ108" s="995" t="s">
        <v>2031</v>
      </c>
      <c r="BL108" s="995" t="s">
        <v>1696</v>
      </c>
      <c r="BN108" s="995" t="s">
        <v>2032</v>
      </c>
    </row>
    <row r="109" spans="52:66" ht="11.25" customHeight="1">
      <c r="BH109" s="995" t="s">
        <v>2033</v>
      </c>
    </row>
    <row r="110" spans="52:66" ht="11.25" customHeight="1">
      <c r="AZ110" s="1614" t="s">
        <v>2034</v>
      </c>
      <c r="BH110" s="995" t="s">
        <v>2033</v>
      </c>
    </row>
    <row r="111" spans="52:66" ht="11.25" customHeight="1">
      <c r="AZ111" s="1818" t="s">
        <v>1995</v>
      </c>
      <c r="BA111" s="1819" t="s">
        <v>1996</v>
      </c>
    </row>
    <row r="112" spans="52:66" ht="11.25" customHeight="1">
      <c r="AZ112" s="1818" t="s">
        <v>2001</v>
      </c>
      <c r="BA112" s="1819" t="s">
        <v>2002</v>
      </c>
    </row>
    <row r="113" spans="52:60" ht="22.5" customHeight="1">
      <c r="AZ113" s="1818" t="s">
        <v>2007</v>
      </c>
      <c r="BA113" s="1819"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18" t="s">
        <v>2012</v>
      </c>
      <c r="BA114" s="181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4" t="s">
        <v>2035</v>
      </c>
    </row>
    <row r="115" spans="52:60" ht="22.5" customHeight="1">
      <c r="AZ115" s="1818" t="s">
        <v>2017</v>
      </c>
      <c r="BA115" s="181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5" t="s">
        <v>1420</v>
      </c>
    </row>
    <row r="116" spans="52:60" ht="11.25" customHeight="1">
      <c r="AZ116" s="1818" t="s">
        <v>2019</v>
      </c>
      <c r="BA116" s="1819" t="s">
        <v>2020</v>
      </c>
      <c r="BH116" s="995" t="s">
        <v>1444</v>
      </c>
    </row>
    <row r="117" spans="52:60" ht="11.25" customHeight="1">
      <c r="BH117" s="995" t="s">
        <v>1478</v>
      </c>
    </row>
    <row r="118" spans="52:60" ht="11.25" customHeight="1">
      <c r="BH118" s="995" t="s">
        <v>1512</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140625" style="391" hidden="1"/>
  </cols>
  <sheetData>
    <row r="1" spans="1:10" ht="11.25" hidden="1" customHeight="1">
      <c r="A1" s="437" t="s">
        <v>318</v>
      </c>
      <c r="J1" s="391" t="s">
        <v>14</v>
      </c>
    </row>
    <row r="2" spans="1:10" ht="22.5" hidden="1" customHeight="1">
      <c r="A2" s="438"/>
      <c r="B2" s="438"/>
      <c r="C2" s="1651" t="s">
        <v>104</v>
      </c>
      <c r="D2" s="1443"/>
      <c r="E2" s="1449"/>
      <c r="F2" s="1472"/>
      <c r="H2" s="411"/>
      <c r="J2" s="391">
        <v>0</v>
      </c>
    </row>
    <row r="3" spans="1:10" ht="11.25" hidden="1" customHeight="1">
      <c r="J3" s="391">
        <v>0</v>
      </c>
    </row>
    <row r="4" spans="1:10" ht="11.45" customHeight="1">
      <c r="A4" s="1473"/>
      <c r="B4" s="1473"/>
      <c r="J4" s="391">
        <v>11</v>
      </c>
    </row>
    <row r="5" spans="1:10" ht="27.4" customHeight="1">
      <c r="D5" s="2382"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383"/>
      <c r="F5" s="2384"/>
      <c r="I5" s="651"/>
      <c r="J5" s="391">
        <v>26</v>
      </c>
    </row>
    <row r="6" spans="1:10" ht="18" customHeight="1">
      <c r="D6" s="2436" t="str">
        <f>IF(region_name=0,"Не определено",region_name)</f>
        <v>Архангельская область</v>
      </c>
      <c r="E6" s="2436"/>
      <c r="F6" s="2436"/>
      <c r="I6" s="651"/>
      <c r="J6" s="391">
        <v>17</v>
      </c>
    </row>
    <row r="7" spans="1:10" s="413" customFormat="1" ht="11.45" customHeight="1">
      <c r="A7" s="437"/>
      <c r="B7" s="437"/>
      <c r="D7" s="650"/>
      <c r="E7" s="650"/>
      <c r="F7" s="687"/>
      <c r="G7" s="650"/>
      <c r="J7" s="413">
        <v>11</v>
      </c>
    </row>
    <row r="8" spans="1:10" ht="11.25" hidden="1" customHeight="1">
      <c r="A8" s="438"/>
      <c r="B8" s="438"/>
      <c r="C8" s="393"/>
      <c r="D8" s="399"/>
      <c r="E8" s="2464"/>
      <c r="F8" s="2464"/>
      <c r="J8" s="391">
        <v>0</v>
      </c>
    </row>
    <row r="9" spans="1:10" ht="11.45" customHeight="1">
      <c r="A9" s="438"/>
      <c r="B9" s="438"/>
      <c r="C9" s="393"/>
      <c r="D9" s="2461" t="s">
        <v>319</v>
      </c>
      <c r="E9" s="2462"/>
      <c r="F9" s="2462"/>
      <c r="G9" s="2465" t="s">
        <v>320</v>
      </c>
      <c r="J9" s="391">
        <v>11</v>
      </c>
    </row>
    <row r="10" spans="1:10" ht="11.45" customHeight="1">
      <c r="A10" s="438"/>
      <c r="B10" s="438"/>
      <c r="C10" s="393"/>
      <c r="D10" s="1397" t="s">
        <v>89</v>
      </c>
      <c r="E10" s="1399" t="s">
        <v>321</v>
      </c>
      <c r="F10" s="1399" t="s">
        <v>322</v>
      </c>
      <c r="G10" s="2466"/>
      <c r="J10" s="391">
        <v>11</v>
      </c>
    </row>
    <row r="11" spans="1:10" ht="1.1499999999999999" customHeight="1">
      <c r="A11" s="438"/>
      <c r="B11" s="438"/>
      <c r="C11" s="393"/>
      <c r="D11" s="400"/>
      <c r="E11" s="400"/>
      <c r="F11" s="400"/>
      <c r="G11" s="400"/>
      <c r="J11" s="391">
        <v>1</v>
      </c>
    </row>
    <row r="12" spans="1:10" ht="24" customHeight="1">
      <c r="A12" s="438"/>
      <c r="B12" s="438"/>
      <c r="C12" s="393"/>
      <c r="D12" s="1443">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25" t="str">
        <f>IF(org="","",org)</f>
        <v>ПАО "ТГК-2"</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6"/>
      <c r="J12" s="391">
        <v>23</v>
      </c>
    </row>
    <row r="13" spans="1:10" ht="19.899999999999999" customHeight="1">
      <c r="A13" s="438"/>
      <c r="B13" s="438"/>
      <c r="C13" s="393"/>
      <c r="D13" s="1443">
        <v>2</v>
      </c>
      <c r="E13" s="1450" t="s">
        <v>2036</v>
      </c>
      <c r="F13" s="1444" t="s">
        <v>325</v>
      </c>
      <c r="G13" s="410"/>
      <c r="H13" s="1456"/>
      <c r="J13" s="391">
        <v>19</v>
      </c>
    </row>
    <row r="14" spans="1:10" ht="19.899999999999999" customHeight="1">
      <c r="A14" s="438"/>
      <c r="B14" s="438"/>
      <c r="C14" s="393"/>
      <c r="D14" s="1446" t="s">
        <v>854</v>
      </c>
      <c r="E14" s="1447" t="s">
        <v>2037</v>
      </c>
      <c r="F14" s="1449"/>
      <c r="G14" s="1448" t="s">
        <v>2038</v>
      </c>
      <c r="H14" s="1456"/>
      <c r="J14" s="391">
        <v>19</v>
      </c>
    </row>
    <row r="15" spans="1:10" ht="19.899999999999999" customHeight="1">
      <c r="A15" s="438"/>
      <c r="B15" s="438"/>
      <c r="C15" s="393"/>
      <c r="D15" s="1446" t="s">
        <v>326</v>
      </c>
      <c r="E15" s="1447" t="s">
        <v>2039</v>
      </c>
      <c r="F15" s="1449"/>
      <c r="G15" s="1448" t="s">
        <v>2040</v>
      </c>
      <c r="H15" s="1456"/>
      <c r="J15" s="391">
        <v>19</v>
      </c>
    </row>
    <row r="16" spans="1:10" ht="24" customHeight="1">
      <c r="A16" s="438"/>
      <c r="B16" s="438"/>
      <c r="C16" s="393"/>
      <c r="D16" s="1446" t="s">
        <v>329</v>
      </c>
      <c r="E16" s="1445" t="s">
        <v>2041</v>
      </c>
      <c r="F16" s="1454"/>
      <c r="G16" s="410" t="s">
        <v>2042</v>
      </c>
      <c r="H16" s="1456"/>
      <c r="J16" s="391">
        <v>23</v>
      </c>
    </row>
    <row r="17" spans="1:10" ht="48.2" customHeight="1">
      <c r="A17" s="438"/>
      <c r="B17" s="438"/>
      <c r="C17" s="393"/>
      <c r="D17" s="1443">
        <v>3</v>
      </c>
      <c r="E17" s="1450" t="s">
        <v>2043</v>
      </c>
      <c r="F17" s="1449"/>
      <c r="G17" s="410" t="s">
        <v>2044</v>
      </c>
      <c r="H17" s="1456"/>
      <c r="J17" s="391">
        <v>46</v>
      </c>
    </row>
    <row r="18" spans="1:10" ht="48.2" customHeight="1">
      <c r="A18" s="1398">
        <v>1</v>
      </c>
      <c r="B18" s="438"/>
      <c r="C18" s="1400"/>
      <c r="D18" s="1443" t="s">
        <v>92</v>
      </c>
      <c r="E18" s="1450" t="s">
        <v>2045</v>
      </c>
      <c r="F18" s="1449"/>
      <c r="G18" s="410" t="s">
        <v>2044</v>
      </c>
      <c r="H18" s="1456"/>
      <c r="I18" s="781"/>
      <c r="J18" s="391">
        <v>46</v>
      </c>
    </row>
    <row r="19" spans="1:10" ht="23.25" customHeight="1">
      <c r="A19" s="438"/>
      <c r="B19" s="438"/>
      <c r="C19" s="393"/>
      <c r="D19" s="1443" t="s">
        <v>123</v>
      </c>
      <c r="E19" s="1450" t="s">
        <v>2046</v>
      </c>
      <c r="F19" s="1444" t="s">
        <v>325</v>
      </c>
      <c r="G19" s="2731" t="s">
        <v>2047</v>
      </c>
      <c r="H19" s="411"/>
      <c r="J19" s="391">
        <v>22</v>
      </c>
    </row>
    <row r="20" spans="1:10" s="1453" customFormat="1" ht="5.25" hidden="1" customHeight="1">
      <c r="A20" s="438"/>
      <c r="B20" s="438"/>
      <c r="C20" s="1452"/>
      <c r="D20" s="1451" t="s">
        <v>1319</v>
      </c>
      <c r="E20" s="941"/>
      <c r="F20" s="940"/>
      <c r="G20" s="2732"/>
      <c r="J20" s="1453">
        <v>0</v>
      </c>
    </row>
    <row r="21" spans="1:10" ht="15.75" customHeight="1">
      <c r="A21" s="438"/>
      <c r="B21" s="438"/>
      <c r="C21" s="393"/>
      <c r="D21" s="403"/>
      <c r="E21" s="351" t="s">
        <v>358</v>
      </c>
      <c r="F21" s="405"/>
      <c r="G21" s="2733"/>
      <c r="H21" s="1456"/>
      <c r="J21" s="391">
        <v>15</v>
      </c>
    </row>
    <row r="22" spans="1:10" s="437" customFormat="1" ht="26.25" customHeight="1">
      <c r="A22" s="438"/>
      <c r="B22" s="438"/>
      <c r="C22" s="438"/>
      <c r="D22" s="1443" t="s">
        <v>93</v>
      </c>
      <c r="E22" s="410" t="s">
        <v>2048</v>
      </c>
      <c r="F22" s="1449"/>
      <c r="G22" s="410" t="s">
        <v>2049</v>
      </c>
      <c r="H22" s="1455"/>
      <c r="J22" s="437">
        <v>25</v>
      </c>
    </row>
    <row r="23" spans="1:10" s="437" customFormat="1" ht="19.899999999999999" customHeight="1">
      <c r="A23" s="438"/>
      <c r="B23" s="438"/>
      <c r="C23" s="438"/>
      <c r="D23" s="1443" t="s">
        <v>94</v>
      </c>
      <c r="E23" s="1450" t="s">
        <v>2050</v>
      </c>
      <c r="F23" s="1454"/>
      <c r="G23" s="410" t="s">
        <v>2051</v>
      </c>
      <c r="H23" s="1455"/>
      <c r="J23" s="437">
        <v>19</v>
      </c>
    </row>
    <row r="24" spans="1:10" s="437" customFormat="1" ht="144" hidden="1" customHeight="1">
      <c r="A24" s="438"/>
      <c r="B24" s="438"/>
      <c r="C24" s="438"/>
      <c r="D24" s="1443" t="s">
        <v>124</v>
      </c>
      <c r="E24" s="1814"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15"/>
      <c r="G24" s="1813"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5"/>
      <c r="J24" s="437">
        <v>0</v>
      </c>
    </row>
    <row r="25" spans="1:10" ht="11.25" hidden="1" customHeight="1">
      <c r="A25" s="437" t="s">
        <v>83</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58" hidden="1"/>
    <col min="2" max="2" width="9.140625" style="1289" hidden="1"/>
    <col min="3" max="3" width="3.7109375" style="1558" hidden="1" customWidth="1"/>
    <col min="4" max="4" width="3" style="1759" customWidth="1"/>
    <col min="5" max="5" width="6" style="1558" customWidth="1"/>
    <col min="6" max="6" width="46" style="1558" customWidth="1"/>
    <col min="7" max="8" width="16" style="1558" customWidth="1"/>
    <col min="9" max="9" width="35" style="1558" customWidth="1"/>
    <col min="10" max="10" width="89" style="1558" customWidth="1"/>
    <col min="11" max="11" width="3" style="1547" customWidth="1"/>
    <col min="12" max="14" width="8" style="1547" customWidth="1"/>
    <col min="15" max="15" width="25" style="1547" customWidth="1"/>
    <col min="16" max="16" width="14" style="1547" customWidth="1"/>
    <col min="17" max="20" width="8" style="162" customWidth="1"/>
    <col min="21" max="254" width="8" style="1558" customWidth="1"/>
    <col min="255" max="255" width="9.140625" style="1558" hidden="1"/>
  </cols>
  <sheetData>
    <row r="1" spans="1:255" ht="22.5" hidden="1" customHeight="1">
      <c r="F1" s="1554" t="s">
        <v>2052</v>
      </c>
      <c r="G1" s="1554" t="s">
        <v>48</v>
      </c>
      <c r="H1" s="1554" t="s">
        <v>50</v>
      </c>
      <c r="IU1" s="1078" t="s">
        <v>14</v>
      </c>
    </row>
    <row r="2" spans="1:255" s="1767" customFormat="1" ht="22.5" hidden="1" customHeight="1">
      <c r="A2" s="760"/>
      <c r="B2" s="1083">
        <v>1</v>
      </c>
      <c r="C2" s="1083"/>
      <c r="D2" s="1842" t="s">
        <v>104</v>
      </c>
      <c r="E2" s="1407"/>
      <c r="F2" s="1414"/>
      <c r="G2" s="1414"/>
      <c r="H2" s="1414"/>
      <c r="I2" s="1898"/>
      <c r="J2" s="1899"/>
      <c r="K2" s="1458"/>
      <c r="L2" s="447"/>
      <c r="M2" s="447"/>
      <c r="N2" s="436" t="str">
        <f t="array" ref="N2">IF(ISERROR(MATCH(MID(O2,1,250),MID(note_ter,1,250),0)),"n","y")</f>
        <v>n</v>
      </c>
      <c r="O2" s="447"/>
      <c r="P2" s="436" t="str">
        <f>G2&amp;"("&amp;J2&amp;")"</f>
        <v>()</v>
      </c>
      <c r="Q2" s="1083"/>
      <c r="R2" s="1083"/>
      <c r="S2" s="356"/>
      <c r="T2" s="1083"/>
      <c r="U2" s="1083"/>
      <c r="V2" s="1083"/>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5" customFormat="1" ht="4.1500000000000004" customHeight="1">
      <c r="A3" s="432"/>
      <c r="D3" s="430"/>
      <c r="F3" s="184" t="s">
        <v>84</v>
      </c>
      <c r="G3" s="430" t="s">
        <v>85</v>
      </c>
      <c r="H3" s="430"/>
      <c r="I3" s="430"/>
      <c r="J3" s="164" t="s">
        <v>86</v>
      </c>
      <c r="K3" s="184" t="s">
        <v>84</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7">
        <v>4</v>
      </c>
    </row>
    <row r="4" spans="1:255" s="1739" customFormat="1" ht="14.65" customHeight="1">
      <c r="A4" s="1078"/>
      <c r="B4" s="1083"/>
      <c r="C4" s="1078"/>
      <c r="D4" s="1418"/>
      <c r="E4" s="445"/>
      <c r="F4" s="1565"/>
      <c r="G4" s="445"/>
      <c r="H4" s="445"/>
      <c r="I4" s="445"/>
      <c r="J4" s="103"/>
      <c r="K4" s="184"/>
      <c r="L4" s="436"/>
      <c r="M4" s="436"/>
      <c r="N4" s="436"/>
      <c r="O4" s="163"/>
      <c r="P4" s="436"/>
      <c r="Q4" s="162"/>
      <c r="R4" s="162"/>
      <c r="S4" s="162"/>
      <c r="T4" s="162"/>
      <c r="IU4" s="443">
        <v>14</v>
      </c>
    </row>
    <row r="5" spans="1:255" s="1739" customFormat="1" ht="27.4" customHeight="1">
      <c r="A5" s="1078"/>
      <c r="B5" s="1083"/>
      <c r="C5" s="1078"/>
      <c r="D5" s="1418"/>
      <c r="E5" s="2355"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355"/>
      <c r="G5" s="2355"/>
      <c r="H5" s="2355"/>
      <c r="I5" s="2355"/>
      <c r="J5" s="2355"/>
      <c r="K5" s="184"/>
      <c r="L5" s="436"/>
      <c r="M5" s="436"/>
      <c r="N5" s="436"/>
      <c r="O5" s="163"/>
      <c r="P5" s="436"/>
      <c r="Q5" s="162"/>
      <c r="R5" s="162"/>
      <c r="S5" s="162"/>
      <c r="T5" s="162"/>
      <c r="IU5" s="443">
        <v>26</v>
      </c>
    </row>
    <row r="6" spans="1:255" s="1739" customFormat="1" ht="14.65" customHeight="1">
      <c r="A6" s="1078"/>
      <c r="B6" s="1083"/>
      <c r="C6" s="1078"/>
      <c r="D6" s="1418"/>
      <c r="E6" s="445"/>
      <c r="F6" s="104"/>
      <c r="G6" s="104"/>
      <c r="H6" s="104"/>
      <c r="I6" s="104"/>
      <c r="J6" s="105"/>
      <c r="K6" s="436"/>
      <c r="L6" s="436"/>
      <c r="M6" s="436"/>
      <c r="N6" s="436"/>
      <c r="O6" s="163"/>
      <c r="P6" s="436"/>
      <c r="Q6" s="162"/>
      <c r="R6" s="162"/>
      <c r="S6" s="162"/>
      <c r="T6" s="162"/>
      <c r="IU6" s="443">
        <v>14</v>
      </c>
    </row>
    <row r="7" spans="1:255" s="1739" customFormat="1" ht="14.65" customHeight="1">
      <c r="A7" s="1078"/>
      <c r="B7" s="1083"/>
      <c r="C7" s="1078"/>
      <c r="D7" s="1418"/>
      <c r="E7" s="2350" t="s">
        <v>319</v>
      </c>
      <c r="F7" s="2356"/>
      <c r="G7" s="2356"/>
      <c r="H7" s="2356"/>
      <c r="I7" s="2356"/>
      <c r="J7" s="2734" t="s">
        <v>320</v>
      </c>
      <c r="K7" s="436"/>
      <c r="L7" s="436"/>
      <c r="M7" s="436"/>
      <c r="N7" s="436"/>
      <c r="O7" s="163"/>
      <c r="P7" s="436"/>
      <c r="Q7" s="162"/>
      <c r="R7" s="162"/>
      <c r="S7" s="162"/>
      <c r="T7" s="162"/>
      <c r="IU7" s="443">
        <v>14</v>
      </c>
    </row>
    <row r="8" spans="1:255" s="1739" customFormat="1" ht="21" customHeight="1">
      <c r="A8" s="1078"/>
      <c r="B8" s="1083"/>
      <c r="C8" s="1078"/>
      <c r="D8" s="1418"/>
      <c r="E8" s="1471" t="s">
        <v>89</v>
      </c>
      <c r="F8" s="1463" t="s">
        <v>2052</v>
      </c>
      <c r="G8" s="1463" t="s">
        <v>48</v>
      </c>
      <c r="H8" s="1463" t="s">
        <v>50</v>
      </c>
      <c r="I8" s="1463" t="s">
        <v>2053</v>
      </c>
      <c r="J8" s="2735"/>
      <c r="K8" s="436"/>
      <c r="L8" s="436"/>
      <c r="M8" s="436"/>
      <c r="N8" s="436"/>
      <c r="O8" s="163"/>
      <c r="P8" s="436"/>
      <c r="Q8" s="162"/>
      <c r="R8" s="162"/>
      <c r="S8" s="162"/>
      <c r="T8" s="162"/>
      <c r="IU8" s="443">
        <v>20</v>
      </c>
    </row>
    <row r="9" spans="1:255" s="1767" customFormat="1" ht="23.25" customHeight="1">
      <c r="A9" s="1554"/>
      <c r="B9" s="1083">
        <v>1</v>
      </c>
      <c r="C9" s="1083"/>
      <c r="D9" s="730"/>
      <c r="E9" s="1407">
        <v>1</v>
      </c>
      <c r="F9" s="1470"/>
      <c r="G9" s="1414"/>
      <c r="H9" s="1414"/>
      <c r="I9" s="1461"/>
      <c r="J9" s="242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58"/>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3"/>
      <c r="R9" s="1083"/>
      <c r="S9" s="356"/>
      <c r="T9" s="1083"/>
      <c r="U9" s="1083"/>
      <c r="V9" s="1083"/>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67" customFormat="1" ht="15.75" customHeight="1">
      <c r="A10" s="1554"/>
      <c r="B10" s="1083"/>
      <c r="C10" s="348"/>
      <c r="D10" s="730"/>
      <c r="E10" s="1464"/>
      <c r="F10" s="1423" t="s">
        <v>2054</v>
      </c>
      <c r="G10" s="1465"/>
      <c r="H10" s="1465"/>
      <c r="I10" s="1816"/>
      <c r="J10" s="2431"/>
      <c r="K10" s="1459"/>
      <c r="L10" s="447"/>
      <c r="M10" s="447"/>
      <c r="N10" s="447"/>
      <c r="O10" s="436"/>
      <c r="P10" s="447"/>
      <c r="Q10" s="1083"/>
      <c r="R10" s="1083"/>
      <c r="S10" s="356"/>
      <c r="T10" s="1083"/>
      <c r="U10" s="1083"/>
      <c r="V10" s="1083"/>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39" customFormat="1" ht="21.95" customHeight="1">
      <c r="A11" s="1078"/>
      <c r="B11" s="1083"/>
      <c r="C11" s="1078"/>
      <c r="D11" s="387"/>
      <c r="E11" s="117"/>
      <c r="F11" s="117"/>
      <c r="G11" s="117"/>
      <c r="H11" s="117"/>
      <c r="I11" s="117"/>
      <c r="J11" s="117"/>
      <c r="K11" s="436"/>
      <c r="L11" s="436"/>
      <c r="M11" s="436"/>
      <c r="N11" s="436"/>
      <c r="O11" s="163"/>
      <c r="P11" s="436"/>
      <c r="Q11" s="162"/>
      <c r="R11" s="162"/>
      <c r="S11" s="162"/>
      <c r="T11" s="162"/>
      <c r="IU11" s="443">
        <v>21</v>
      </c>
    </row>
    <row r="12" spans="1:255" s="1739" customFormat="1" ht="14.65" customHeight="1">
      <c r="A12" s="1078"/>
      <c r="B12" s="1083"/>
      <c r="C12" s="1078"/>
      <c r="D12" s="387"/>
      <c r="E12" s="1078"/>
      <c r="F12" s="1078"/>
      <c r="G12" s="1078"/>
      <c r="H12" s="1078"/>
      <c r="I12" s="1078"/>
      <c r="J12" s="1078"/>
      <c r="K12" s="436"/>
      <c r="L12" s="436"/>
      <c r="M12" s="436"/>
      <c r="N12" s="436"/>
      <c r="O12" s="163"/>
      <c r="P12" s="436"/>
      <c r="Q12" s="162"/>
      <c r="R12" s="162"/>
      <c r="S12" s="162"/>
      <c r="T12" s="162"/>
      <c r="IU12" s="443">
        <v>14</v>
      </c>
    </row>
    <row r="13" spans="1:255" s="1739" customFormat="1" ht="1.1499999999999999" customHeight="1">
      <c r="A13" s="1078"/>
      <c r="B13" s="1083"/>
      <c r="C13" s="1078"/>
      <c r="D13" s="387"/>
      <c r="E13" s="1078"/>
      <c r="F13" s="1078"/>
      <c r="G13" s="1078"/>
      <c r="H13" s="1078"/>
      <c r="I13" s="1078"/>
      <c r="J13" s="1078"/>
      <c r="K13" s="436"/>
      <c r="L13" s="436"/>
      <c r="M13" s="436"/>
      <c r="N13" s="436"/>
      <c r="O13" s="163"/>
      <c r="P13" s="436"/>
      <c r="Q13" s="162"/>
      <c r="R13" s="162"/>
      <c r="S13" s="162"/>
      <c r="T13" s="162"/>
      <c r="IU13" s="443">
        <v>1</v>
      </c>
    </row>
    <row r="14" spans="1:255" s="991" customFormat="1" ht="10.5" customHeight="1">
      <c r="B14" s="763"/>
      <c r="D14" s="119"/>
      <c r="K14" s="436"/>
      <c r="L14" s="436"/>
      <c r="M14" s="436"/>
      <c r="N14" s="436"/>
      <c r="O14" s="163"/>
      <c r="P14" s="436"/>
      <c r="Q14" s="162"/>
      <c r="R14" s="162"/>
      <c r="S14" s="162"/>
      <c r="T14" s="162"/>
      <c r="IU14" s="118">
        <v>10</v>
      </c>
    </row>
    <row r="15" spans="1:255" s="991" customFormat="1" ht="10.5" customHeight="1">
      <c r="B15" s="763"/>
      <c r="D15" s="119"/>
      <c r="K15" s="436"/>
      <c r="L15" s="436"/>
      <c r="M15" s="436"/>
      <c r="N15" s="436"/>
      <c r="O15" s="163"/>
      <c r="P15" s="436"/>
      <c r="Q15" s="162"/>
      <c r="R15" s="162"/>
      <c r="S15" s="162"/>
      <c r="T15" s="162"/>
      <c r="IU15" s="118">
        <v>10</v>
      </c>
    </row>
    <row r="16" spans="1:255" ht="14.65" customHeight="1">
      <c r="IU16" s="1078">
        <v>14</v>
      </c>
    </row>
    <row r="17" spans="1:255" ht="14.65" customHeight="1">
      <c r="IU17" s="1078">
        <v>14</v>
      </c>
    </row>
    <row r="18" spans="1:255" ht="14.65" customHeight="1">
      <c r="IU18" s="1078">
        <v>14</v>
      </c>
    </row>
    <row r="19" spans="1:255" ht="14.65" customHeight="1">
      <c r="G19" s="309"/>
      <c r="H19" s="309"/>
      <c r="I19" s="309"/>
      <c r="IU19" s="1078">
        <v>14</v>
      </c>
    </row>
    <row r="20" spans="1:255" ht="14.65" customHeight="1">
      <c r="IU20" s="1078">
        <v>14</v>
      </c>
    </row>
    <row r="21" spans="1:255" ht="14.65" customHeight="1">
      <c r="IU21" s="1078">
        <v>14</v>
      </c>
    </row>
    <row r="22" spans="1:255" ht="14.65" customHeight="1">
      <c r="IU22" s="1078">
        <v>14</v>
      </c>
    </row>
    <row r="23" spans="1:255" ht="14.65" customHeight="1">
      <c r="K23" s="1078"/>
      <c r="L23" s="1078"/>
      <c r="M23" s="1078"/>
      <c r="IU23" s="1078">
        <v>14</v>
      </c>
    </row>
    <row r="24" spans="1:255" ht="22.5" hidden="1" customHeight="1">
      <c r="A24" s="1078" t="s">
        <v>83</v>
      </c>
      <c r="B24" s="1083">
        <v>0</v>
      </c>
      <c r="C24" s="1078">
        <v>0</v>
      </c>
      <c r="D24" s="387">
        <v>3</v>
      </c>
      <c r="E24" s="1078">
        <v>6</v>
      </c>
      <c r="F24" s="1078">
        <v>46</v>
      </c>
      <c r="G24" s="1078">
        <v>16</v>
      </c>
      <c r="H24" s="1078">
        <v>16</v>
      </c>
      <c r="I24" s="1078">
        <v>35</v>
      </c>
      <c r="J24" s="1078">
        <v>89</v>
      </c>
      <c r="K24" s="436">
        <v>3</v>
      </c>
      <c r="L24" s="436">
        <v>8</v>
      </c>
      <c r="M24" s="436">
        <v>8</v>
      </c>
      <c r="N24" s="436">
        <v>8</v>
      </c>
      <c r="O24" s="163">
        <v>25</v>
      </c>
      <c r="P24" s="436">
        <v>14</v>
      </c>
      <c r="Q24" s="162">
        <v>8</v>
      </c>
      <c r="R24" s="162">
        <v>8</v>
      </c>
      <c r="S24" s="162">
        <v>8</v>
      </c>
      <c r="T24" s="162">
        <v>8</v>
      </c>
      <c r="U24" s="1078">
        <v>8</v>
      </c>
      <c r="V24" s="1078">
        <v>8</v>
      </c>
      <c r="W24" s="1078">
        <v>8</v>
      </c>
      <c r="X24" s="1078">
        <v>8</v>
      </c>
      <c r="Y24" s="1078">
        <v>8</v>
      </c>
      <c r="Z24" s="1078">
        <v>8</v>
      </c>
      <c r="AA24" s="1078">
        <v>8</v>
      </c>
      <c r="AB24" s="1078">
        <v>8</v>
      </c>
      <c r="AC24" s="1078">
        <v>8</v>
      </c>
      <c r="AD24" s="1078">
        <v>8</v>
      </c>
      <c r="AE24" s="1078">
        <v>8</v>
      </c>
      <c r="AF24" s="1078">
        <v>8</v>
      </c>
      <c r="AG24" s="1078">
        <v>8</v>
      </c>
      <c r="AH24" s="1078">
        <v>8</v>
      </c>
      <c r="AI24" s="1078">
        <v>8</v>
      </c>
      <c r="AJ24" s="1078">
        <v>8</v>
      </c>
      <c r="AK24" s="1078">
        <v>8</v>
      </c>
      <c r="AL24" s="1078">
        <v>8</v>
      </c>
      <c r="AM24" s="1078">
        <v>8</v>
      </c>
      <c r="AN24" s="1078">
        <v>8</v>
      </c>
      <c r="AO24" s="1078">
        <v>8</v>
      </c>
      <c r="AP24" s="1078">
        <v>8</v>
      </c>
      <c r="AQ24" s="1078">
        <v>8</v>
      </c>
      <c r="AR24" s="1078">
        <v>8</v>
      </c>
      <c r="AS24" s="1078">
        <v>8</v>
      </c>
      <c r="AT24" s="1078">
        <v>8</v>
      </c>
      <c r="AU24" s="1078">
        <v>8</v>
      </c>
      <c r="AV24" s="1078">
        <v>8</v>
      </c>
      <c r="AW24" s="1078">
        <v>8</v>
      </c>
      <c r="AX24" s="1078">
        <v>8</v>
      </c>
      <c r="AY24" s="1078">
        <v>8</v>
      </c>
      <c r="AZ24" s="1078">
        <v>8</v>
      </c>
      <c r="BA24" s="1078">
        <v>8</v>
      </c>
      <c r="BB24" s="1078">
        <v>8</v>
      </c>
      <c r="BC24" s="1078">
        <v>8</v>
      </c>
      <c r="BD24" s="1078">
        <v>8</v>
      </c>
      <c r="BE24" s="1078">
        <v>8</v>
      </c>
      <c r="BF24" s="1078">
        <v>8</v>
      </c>
      <c r="BG24" s="1078">
        <v>8</v>
      </c>
      <c r="BH24" s="1078">
        <v>8</v>
      </c>
      <c r="BI24" s="1078">
        <v>8</v>
      </c>
      <c r="BJ24" s="1078">
        <v>8</v>
      </c>
      <c r="BK24" s="1078">
        <v>8</v>
      </c>
      <c r="BL24" s="1078">
        <v>8</v>
      </c>
      <c r="BM24" s="1078">
        <v>8</v>
      </c>
      <c r="BN24" s="1078">
        <v>8</v>
      </c>
      <c r="BO24" s="1078">
        <v>8</v>
      </c>
      <c r="BP24" s="1078">
        <v>8</v>
      </c>
      <c r="BQ24" s="1078">
        <v>8</v>
      </c>
      <c r="BR24" s="1078">
        <v>8</v>
      </c>
      <c r="BS24" s="1078">
        <v>8</v>
      </c>
      <c r="BT24" s="1078">
        <v>8</v>
      </c>
      <c r="BU24" s="1078">
        <v>8</v>
      </c>
      <c r="BV24" s="1078">
        <v>8</v>
      </c>
      <c r="BW24" s="1078">
        <v>8</v>
      </c>
      <c r="BX24" s="1078">
        <v>8</v>
      </c>
      <c r="BY24" s="1078">
        <v>8</v>
      </c>
      <c r="BZ24" s="1078">
        <v>8</v>
      </c>
      <c r="CA24" s="1078">
        <v>8</v>
      </c>
      <c r="CB24" s="1078">
        <v>8</v>
      </c>
      <c r="CC24" s="1078">
        <v>8</v>
      </c>
      <c r="CD24" s="1078">
        <v>8</v>
      </c>
      <c r="CE24" s="1078">
        <v>8</v>
      </c>
      <c r="CF24" s="1078">
        <v>8</v>
      </c>
      <c r="CG24" s="1078">
        <v>8</v>
      </c>
      <c r="CH24" s="1078">
        <v>8</v>
      </c>
      <c r="CI24" s="1078">
        <v>8</v>
      </c>
      <c r="CJ24" s="1078">
        <v>8</v>
      </c>
      <c r="CK24" s="1078">
        <v>8</v>
      </c>
      <c r="CL24" s="1078">
        <v>8</v>
      </c>
      <c r="CM24" s="1078">
        <v>8</v>
      </c>
      <c r="CN24" s="1078">
        <v>8</v>
      </c>
      <c r="CO24" s="1078">
        <v>8</v>
      </c>
      <c r="CP24" s="1078">
        <v>8</v>
      </c>
      <c r="CQ24" s="1078">
        <v>8</v>
      </c>
      <c r="CR24" s="1078">
        <v>8</v>
      </c>
      <c r="CS24" s="1078">
        <v>8</v>
      </c>
      <c r="CT24" s="1078">
        <v>8</v>
      </c>
      <c r="CU24" s="1078">
        <v>8</v>
      </c>
      <c r="CV24" s="1078">
        <v>8</v>
      </c>
      <c r="CW24" s="1078">
        <v>8</v>
      </c>
      <c r="CX24" s="1078">
        <v>8</v>
      </c>
      <c r="CY24" s="1078">
        <v>8</v>
      </c>
      <c r="CZ24" s="1078">
        <v>8</v>
      </c>
      <c r="DA24" s="1078">
        <v>8</v>
      </c>
      <c r="DB24" s="1078">
        <v>8</v>
      </c>
      <c r="DC24" s="1078">
        <v>8</v>
      </c>
      <c r="DD24" s="1078">
        <v>8</v>
      </c>
      <c r="DE24" s="1078">
        <v>8</v>
      </c>
      <c r="DF24" s="1078">
        <v>8</v>
      </c>
      <c r="DG24" s="1078">
        <v>8</v>
      </c>
      <c r="DH24" s="1078">
        <v>8</v>
      </c>
      <c r="DI24" s="1078">
        <v>8</v>
      </c>
      <c r="DJ24" s="1078">
        <v>8</v>
      </c>
      <c r="DK24" s="1078">
        <v>8</v>
      </c>
      <c r="DL24" s="1078">
        <v>8</v>
      </c>
      <c r="DM24" s="1078">
        <v>8</v>
      </c>
      <c r="DN24" s="1078">
        <v>8</v>
      </c>
      <c r="DO24" s="1078">
        <v>8</v>
      </c>
      <c r="DP24" s="1078">
        <v>8</v>
      </c>
      <c r="DQ24" s="1078">
        <v>8</v>
      </c>
      <c r="DR24" s="1078">
        <v>8</v>
      </c>
      <c r="DS24" s="1078">
        <v>8</v>
      </c>
      <c r="DT24" s="1078">
        <v>8</v>
      </c>
      <c r="DU24" s="1078">
        <v>8</v>
      </c>
      <c r="DV24" s="1078">
        <v>8</v>
      </c>
      <c r="DW24" s="1078">
        <v>8</v>
      </c>
      <c r="DX24" s="1078">
        <v>8</v>
      </c>
      <c r="DY24" s="1078">
        <v>8</v>
      </c>
      <c r="DZ24" s="1078">
        <v>8</v>
      </c>
      <c r="EA24" s="1078">
        <v>8</v>
      </c>
      <c r="EB24" s="1078">
        <v>8</v>
      </c>
      <c r="EC24" s="1078">
        <v>8</v>
      </c>
      <c r="ED24" s="1078">
        <v>8</v>
      </c>
      <c r="EE24" s="1078">
        <v>8</v>
      </c>
      <c r="EF24" s="1078">
        <v>8</v>
      </c>
      <c r="EG24" s="1078">
        <v>8</v>
      </c>
      <c r="EH24" s="1078">
        <v>8</v>
      </c>
      <c r="EI24" s="1078">
        <v>8</v>
      </c>
      <c r="EJ24" s="1078">
        <v>8</v>
      </c>
      <c r="EK24" s="1078">
        <v>8</v>
      </c>
      <c r="EL24" s="1078">
        <v>8</v>
      </c>
      <c r="EM24" s="1078">
        <v>8</v>
      </c>
      <c r="EN24" s="1078">
        <v>8</v>
      </c>
      <c r="EO24" s="1078">
        <v>8</v>
      </c>
      <c r="EP24" s="1078">
        <v>8</v>
      </c>
      <c r="EQ24" s="1078">
        <v>8</v>
      </c>
      <c r="ER24" s="1078">
        <v>8</v>
      </c>
      <c r="ES24" s="1078">
        <v>8</v>
      </c>
      <c r="ET24" s="1078">
        <v>8</v>
      </c>
      <c r="EU24" s="1078">
        <v>8</v>
      </c>
      <c r="EV24" s="1078">
        <v>8</v>
      </c>
      <c r="EW24" s="1078">
        <v>8</v>
      </c>
      <c r="EX24" s="1078">
        <v>8</v>
      </c>
      <c r="EY24" s="1078">
        <v>8</v>
      </c>
      <c r="EZ24" s="1078">
        <v>8</v>
      </c>
      <c r="FA24" s="1078">
        <v>8</v>
      </c>
      <c r="FB24" s="1078">
        <v>8</v>
      </c>
      <c r="FC24" s="1078">
        <v>8</v>
      </c>
      <c r="FD24" s="1078">
        <v>8</v>
      </c>
      <c r="FE24" s="1078">
        <v>8</v>
      </c>
      <c r="FF24" s="1078">
        <v>8</v>
      </c>
      <c r="FG24" s="1078">
        <v>8</v>
      </c>
      <c r="FH24" s="1078">
        <v>8</v>
      </c>
      <c r="FI24" s="1078">
        <v>8</v>
      </c>
      <c r="FJ24" s="1078">
        <v>8</v>
      </c>
      <c r="FK24" s="1078">
        <v>8</v>
      </c>
      <c r="FL24" s="1078">
        <v>8</v>
      </c>
      <c r="FM24" s="1078">
        <v>8</v>
      </c>
      <c r="FN24" s="1078">
        <v>8</v>
      </c>
      <c r="FO24" s="1078">
        <v>8</v>
      </c>
      <c r="FP24" s="1078">
        <v>8</v>
      </c>
      <c r="FQ24" s="1078">
        <v>8</v>
      </c>
      <c r="FR24" s="1078">
        <v>8</v>
      </c>
      <c r="FS24" s="1078">
        <v>8</v>
      </c>
      <c r="FT24" s="1078">
        <v>8</v>
      </c>
      <c r="FU24" s="1078">
        <v>8</v>
      </c>
      <c r="FV24" s="1078">
        <v>8</v>
      </c>
      <c r="FW24" s="1078">
        <v>8</v>
      </c>
      <c r="FX24" s="1078">
        <v>8</v>
      </c>
      <c r="FY24" s="1078">
        <v>8</v>
      </c>
      <c r="FZ24" s="1078">
        <v>8</v>
      </c>
      <c r="GA24" s="1078">
        <v>8</v>
      </c>
      <c r="GB24" s="1078">
        <v>8</v>
      </c>
      <c r="GC24" s="1078">
        <v>8</v>
      </c>
      <c r="GD24" s="1078">
        <v>8</v>
      </c>
      <c r="GE24" s="1078">
        <v>8</v>
      </c>
      <c r="GF24" s="1078">
        <v>8</v>
      </c>
      <c r="GG24" s="1078">
        <v>8</v>
      </c>
      <c r="GH24" s="1078">
        <v>8</v>
      </c>
      <c r="GI24" s="1078">
        <v>8</v>
      </c>
      <c r="GJ24" s="1078">
        <v>8</v>
      </c>
      <c r="GK24" s="1078">
        <v>8</v>
      </c>
      <c r="GL24" s="1078">
        <v>8</v>
      </c>
      <c r="GM24" s="1078">
        <v>8</v>
      </c>
      <c r="GN24" s="1078">
        <v>8</v>
      </c>
      <c r="GO24" s="1078">
        <v>8</v>
      </c>
      <c r="GP24" s="1078">
        <v>8</v>
      </c>
      <c r="GQ24" s="1078">
        <v>8</v>
      </c>
      <c r="GR24" s="1078">
        <v>8</v>
      </c>
      <c r="GS24" s="1078">
        <v>8</v>
      </c>
      <c r="GT24" s="1078">
        <v>8</v>
      </c>
      <c r="GU24" s="1078">
        <v>8</v>
      </c>
      <c r="GV24" s="1078">
        <v>8</v>
      </c>
      <c r="GW24" s="1078">
        <v>8</v>
      </c>
      <c r="GX24" s="1078">
        <v>8</v>
      </c>
      <c r="GY24" s="1078">
        <v>8</v>
      </c>
      <c r="GZ24" s="1078">
        <v>8</v>
      </c>
      <c r="HA24" s="1078">
        <v>8</v>
      </c>
      <c r="HB24" s="1078">
        <v>8</v>
      </c>
      <c r="HC24" s="1078">
        <v>8</v>
      </c>
      <c r="HD24" s="1078">
        <v>8</v>
      </c>
      <c r="HE24" s="1078">
        <v>8</v>
      </c>
      <c r="HF24" s="1078">
        <v>8</v>
      </c>
      <c r="HG24" s="1078">
        <v>8</v>
      </c>
      <c r="HH24" s="1078">
        <v>8</v>
      </c>
      <c r="HI24" s="1078">
        <v>8</v>
      </c>
      <c r="HJ24" s="1078">
        <v>8</v>
      </c>
      <c r="HK24" s="1078">
        <v>8</v>
      </c>
      <c r="HL24" s="1078">
        <v>8</v>
      </c>
      <c r="HM24" s="1078">
        <v>8</v>
      </c>
      <c r="HN24" s="1078">
        <v>8</v>
      </c>
      <c r="HO24" s="1078">
        <v>8</v>
      </c>
      <c r="HP24" s="1078">
        <v>8</v>
      </c>
      <c r="HQ24" s="1078">
        <v>8</v>
      </c>
      <c r="HR24" s="1078">
        <v>8</v>
      </c>
      <c r="HS24" s="1078">
        <v>8</v>
      </c>
      <c r="HT24" s="1078">
        <v>8</v>
      </c>
      <c r="HU24" s="1078">
        <v>8</v>
      </c>
      <c r="HV24" s="1078">
        <v>8</v>
      </c>
      <c r="HW24" s="1078">
        <v>8</v>
      </c>
      <c r="HX24" s="1078">
        <v>8</v>
      </c>
      <c r="HY24" s="1078">
        <v>8</v>
      </c>
      <c r="HZ24" s="1078">
        <v>8</v>
      </c>
      <c r="IA24" s="1078">
        <v>8</v>
      </c>
      <c r="IB24" s="1078">
        <v>8</v>
      </c>
      <c r="IC24" s="1078">
        <v>8</v>
      </c>
      <c r="ID24" s="1078">
        <v>8</v>
      </c>
      <c r="IE24" s="1078">
        <v>8</v>
      </c>
      <c r="IF24" s="1078">
        <v>8</v>
      </c>
      <c r="IG24" s="1078">
        <v>8</v>
      </c>
      <c r="IH24" s="1078">
        <v>8</v>
      </c>
      <c r="II24" s="1078">
        <v>8</v>
      </c>
      <c r="IJ24" s="1078">
        <v>8</v>
      </c>
      <c r="IK24" s="1078">
        <v>8</v>
      </c>
      <c r="IL24" s="1078">
        <v>8</v>
      </c>
      <c r="IM24" s="1078">
        <v>8</v>
      </c>
      <c r="IN24" s="1078">
        <v>8</v>
      </c>
      <c r="IO24" s="1078">
        <v>8</v>
      </c>
      <c r="IP24" s="1078">
        <v>8</v>
      </c>
      <c r="IQ24" s="1078">
        <v>8</v>
      </c>
      <c r="IR24" s="1078">
        <v>8</v>
      </c>
      <c r="IS24" s="1078">
        <v>8</v>
      </c>
      <c r="IT24" s="1078">
        <v>8</v>
      </c>
      <c r="IU24" s="1078">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58" hidden="1"/>
    <col min="2" max="2" width="9.140625" style="1289" hidden="1"/>
    <col min="3" max="3" width="3.7109375" style="1558" hidden="1" customWidth="1"/>
    <col min="4" max="4" width="3" style="1759" customWidth="1"/>
    <col min="5" max="5" width="6" style="1558" customWidth="1"/>
    <col min="6" max="6" width="27" style="1558" customWidth="1"/>
    <col min="7" max="7" width="16" style="1558" customWidth="1"/>
    <col min="8" max="8" width="12" style="1558" customWidth="1"/>
    <col min="9" max="9" width="32" style="1558" customWidth="1"/>
    <col min="10" max="11" width="41" style="1558" customWidth="1"/>
    <col min="12" max="12" width="89" style="1558" customWidth="1"/>
    <col min="13" max="13" width="3" style="1547" customWidth="1"/>
    <col min="14" max="16" width="8" style="1547" customWidth="1"/>
    <col min="17" max="17" width="25" style="1547" customWidth="1"/>
    <col min="18" max="18" width="14" style="1547" customWidth="1"/>
    <col min="19" max="22" width="8" style="162" customWidth="1"/>
    <col min="23" max="256" width="8" style="1558" customWidth="1"/>
    <col min="257" max="257" width="9.140625" style="1558" hidden="1"/>
  </cols>
  <sheetData>
    <row r="1" spans="1:257" ht="22.5" hidden="1" customHeight="1">
      <c r="IW1" s="1078" t="s">
        <v>14</v>
      </c>
    </row>
    <row r="2" spans="1:257" s="1767" customFormat="1" ht="22.5" hidden="1" customHeight="1">
      <c r="A2" s="760"/>
      <c r="B2" s="1083">
        <v>1</v>
      </c>
      <c r="C2" s="1083"/>
      <c r="D2" s="1842" t="s">
        <v>104</v>
      </c>
      <c r="E2" s="1806"/>
      <c r="F2" s="1809" t="str">
        <f>IF(ROIV_INFO_NAME="","",ROIV_INFO_NAME)</f>
        <v>ПАО "ТГК-2"</v>
      </c>
      <c r="G2" s="1834" t="s">
        <v>22</v>
      </c>
      <c r="H2" s="1833"/>
      <c r="I2" s="1461"/>
      <c r="J2" s="747"/>
      <c r="K2" s="747"/>
      <c r="L2" s="165"/>
      <c r="M2" s="1458" t="e">
        <f ca="1">MERGEVALUE(F2)</f>
        <v>#NAME?</v>
      </c>
      <c r="N2" s="447"/>
      <c r="O2" s="447"/>
      <c r="P2" s="436" t="str">
        <f t="array" ref="P2">IF(ISERROR(MATCH(MID(Q2,1,250),MID(note_ter,1,250),0)),"n","y")</f>
        <v>n</v>
      </c>
      <c r="Q2" s="447"/>
      <c r="R2" s="436" t="str">
        <f>G2&amp;"("&amp;L2&amp;")"</f>
        <v>()</v>
      </c>
      <c r="S2" s="1083"/>
      <c r="T2" s="1083"/>
      <c r="U2" s="356"/>
      <c r="V2" s="1083"/>
      <c r="W2" s="1083"/>
      <c r="X2" s="1083"/>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5" customFormat="1" ht="5.25" hidden="1" customHeight="1">
      <c r="A3" s="432"/>
      <c r="D3" s="430"/>
      <c r="F3" s="184" t="s">
        <v>84</v>
      </c>
      <c r="G3" s="1656" t="s">
        <v>85</v>
      </c>
      <c r="H3" s="430"/>
      <c r="I3" s="430"/>
      <c r="J3" s="430"/>
      <c r="K3" s="430"/>
      <c r="L3" s="164" t="s">
        <v>86</v>
      </c>
      <c r="M3" s="184" t="s">
        <v>84</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7">
        <v>0</v>
      </c>
    </row>
    <row r="4" spans="1:257" s="1739" customFormat="1" ht="14.65" customHeight="1">
      <c r="A4" s="1078"/>
      <c r="B4" s="1083"/>
      <c r="C4" s="1078"/>
      <c r="D4" s="1418"/>
      <c r="E4" s="445"/>
      <c r="F4" s="445"/>
      <c r="G4" s="445"/>
      <c r="H4" s="445"/>
      <c r="I4" s="445"/>
      <c r="J4" s="445"/>
      <c r="K4" s="445"/>
      <c r="L4" s="103"/>
      <c r="M4" s="184"/>
      <c r="N4" s="436"/>
      <c r="O4" s="436"/>
      <c r="P4" s="436"/>
      <c r="Q4" s="163"/>
      <c r="R4" s="436"/>
      <c r="S4" s="162"/>
      <c r="T4" s="162"/>
      <c r="U4" s="162"/>
      <c r="V4" s="162"/>
      <c r="IW4" s="443">
        <v>14</v>
      </c>
    </row>
    <row r="5" spans="1:257" s="1739" customFormat="1" ht="27.4" customHeight="1">
      <c r="A5" s="1078"/>
      <c r="B5" s="1083"/>
      <c r="C5" s="1078"/>
      <c r="D5" s="1418"/>
      <c r="E5" s="2355"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355"/>
      <c r="G5" s="2355"/>
      <c r="H5" s="2355"/>
      <c r="I5" s="2355"/>
      <c r="J5" s="2355"/>
      <c r="K5" s="2355"/>
      <c r="L5" s="524"/>
      <c r="M5" s="184"/>
      <c r="N5" s="436"/>
      <c r="O5" s="436"/>
      <c r="P5" s="436"/>
      <c r="Q5" s="163"/>
      <c r="R5" s="436"/>
      <c r="S5" s="162"/>
      <c r="T5" s="162"/>
      <c r="U5" s="162"/>
      <c r="V5" s="162"/>
      <c r="IW5" s="443">
        <v>26</v>
      </c>
    </row>
    <row r="6" spans="1:257" s="1739" customFormat="1" ht="14.65" customHeight="1">
      <c r="A6" s="1078"/>
      <c r="B6" s="1083"/>
      <c r="C6" s="1078"/>
      <c r="D6" s="1418"/>
      <c r="E6" s="445"/>
      <c r="F6" s="104"/>
      <c r="G6" s="104"/>
      <c r="H6" s="104"/>
      <c r="I6" s="104"/>
      <c r="J6" s="104"/>
      <c r="K6" s="104"/>
      <c r="L6" s="105"/>
      <c r="M6" s="436"/>
      <c r="N6" s="436"/>
      <c r="O6" s="436"/>
      <c r="P6" s="436"/>
      <c r="Q6" s="163"/>
      <c r="R6" s="436"/>
      <c r="S6" s="162"/>
      <c r="T6" s="162"/>
      <c r="U6" s="162"/>
      <c r="V6" s="162"/>
      <c r="IW6" s="443">
        <v>14</v>
      </c>
    </row>
    <row r="7" spans="1:257" s="1739" customFormat="1" ht="14.65" customHeight="1">
      <c r="A7" s="1078"/>
      <c r="B7" s="1083"/>
      <c r="C7" s="1078"/>
      <c r="D7" s="1418"/>
      <c r="E7" s="2350" t="s">
        <v>319</v>
      </c>
      <c r="F7" s="2356"/>
      <c r="G7" s="2356"/>
      <c r="H7" s="2356"/>
      <c r="I7" s="2356"/>
      <c r="J7" s="2356"/>
      <c r="K7" s="2356"/>
      <c r="L7" s="2734" t="s">
        <v>320</v>
      </c>
      <c r="M7" s="436"/>
      <c r="N7" s="436"/>
      <c r="O7" s="436"/>
      <c r="P7" s="436"/>
      <c r="Q7" s="163"/>
      <c r="R7" s="436"/>
      <c r="S7" s="162"/>
      <c r="T7" s="162"/>
      <c r="U7" s="162"/>
      <c r="V7" s="162"/>
      <c r="IW7" s="443">
        <v>14</v>
      </c>
    </row>
    <row r="8" spans="1:257" s="1739" customFormat="1" ht="67.150000000000006" customHeight="1">
      <c r="A8" s="1078"/>
      <c r="B8" s="1083"/>
      <c r="C8" s="1078"/>
      <c r="D8" s="1418"/>
      <c r="E8" s="2738" t="s">
        <v>89</v>
      </c>
      <c r="F8" s="273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74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741"/>
      <c r="I8" s="2742"/>
      <c r="J8" s="273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73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736"/>
      <c r="M8" s="436"/>
      <c r="N8" s="436"/>
      <c r="O8" s="436"/>
      <c r="P8" s="436"/>
      <c r="Q8" s="163"/>
      <c r="R8" s="436"/>
      <c r="S8" s="162"/>
      <c r="T8" s="162"/>
      <c r="U8" s="162"/>
      <c r="V8" s="162"/>
      <c r="IW8" s="443">
        <v>64</v>
      </c>
    </row>
    <row r="9" spans="1:257" s="1739" customFormat="1" ht="29.25" customHeight="1">
      <c r="A9" s="1078"/>
      <c r="B9" s="1083"/>
      <c r="C9" s="1078"/>
      <c r="D9" s="1418"/>
      <c r="E9" s="2739"/>
      <c r="F9" s="2739"/>
      <c r="G9" s="1460" t="s">
        <v>2055</v>
      </c>
      <c r="H9" s="1460" t="s">
        <v>2056</v>
      </c>
      <c r="I9" s="1460" t="s">
        <v>2057</v>
      </c>
      <c r="J9" s="2739"/>
      <c r="K9" s="2739"/>
      <c r="L9" s="2735"/>
      <c r="M9" s="436"/>
      <c r="N9" s="436"/>
      <c r="O9" s="436"/>
      <c r="P9" s="436"/>
      <c r="Q9" s="163"/>
      <c r="R9" s="436"/>
      <c r="S9" s="162"/>
      <c r="T9" s="162"/>
      <c r="U9" s="162"/>
      <c r="V9" s="162"/>
      <c r="IW9" s="443">
        <v>28</v>
      </c>
    </row>
    <row r="10" spans="1:257" s="1767" customFormat="1" ht="23.25" customHeight="1">
      <c r="A10" s="2353"/>
      <c r="B10" s="1083">
        <v>1</v>
      </c>
      <c r="C10" s="1083"/>
      <c r="D10" s="729"/>
      <c r="E10" s="727">
        <v>1</v>
      </c>
      <c r="F10" s="1462" t="str">
        <f>IF(ROIV_INFO_NAME="","",ROIV_INFO_NAME)</f>
        <v>ПАО "ТГК-2"</v>
      </c>
      <c r="G10" s="1653" t="s">
        <v>22</v>
      </c>
      <c r="H10" s="1833"/>
      <c r="I10" s="1457"/>
      <c r="J10" s="747"/>
      <c r="K10" s="747"/>
      <c r="L10" s="270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58" t="e">
        <f ca="1">MERGEVALUE(F10)</f>
        <v>#NAME?</v>
      </c>
      <c r="N10" s="447"/>
      <c r="O10" s="447"/>
      <c r="P10" s="436" t="str">
        <f t="array" ref="P10">IF(ISERROR(MATCH(MID(Q10,1,250),MID(note_ter,1,250),0)),"n","y")</f>
        <v>n</v>
      </c>
      <c r="Q10" s="447"/>
      <c r="R10" s="43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3"/>
      <c r="T10" s="1083"/>
      <c r="U10" s="356"/>
      <c r="V10" s="1083"/>
      <c r="W10" s="1083"/>
      <c r="X10" s="1083"/>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67" customFormat="1" ht="15.75" customHeight="1">
      <c r="A11" s="2353"/>
      <c r="B11" s="1083"/>
      <c r="C11" s="348"/>
      <c r="D11" s="730"/>
      <c r="E11" s="357"/>
      <c r="F11" s="352" t="s">
        <v>2058</v>
      </c>
      <c r="G11" s="124"/>
      <c r="H11" s="124"/>
      <c r="I11" s="124"/>
      <c r="J11" s="124"/>
      <c r="K11" s="360"/>
      <c r="L11" s="2737"/>
      <c r="M11" s="1459"/>
      <c r="N11" s="447"/>
      <c r="O11" s="447"/>
      <c r="P11" s="447"/>
      <c r="Q11" s="436"/>
      <c r="R11" s="447"/>
      <c r="S11" s="1083"/>
      <c r="T11" s="1083"/>
      <c r="U11" s="356"/>
      <c r="V11" s="1083"/>
      <c r="W11" s="1083"/>
      <c r="X11" s="1083"/>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39" customFormat="1" ht="21.95" customHeight="1">
      <c r="A12" s="1078"/>
      <c r="B12" s="1083"/>
      <c r="C12" s="1078"/>
      <c r="D12" s="387"/>
      <c r="E12" s="117"/>
      <c r="F12" s="117"/>
      <c r="G12" s="117"/>
      <c r="H12" s="117"/>
      <c r="I12" s="117"/>
      <c r="J12" s="117"/>
      <c r="K12" s="117"/>
      <c r="L12" s="117"/>
      <c r="M12" s="436"/>
      <c r="N12" s="436"/>
      <c r="O12" s="436"/>
      <c r="P12" s="436"/>
      <c r="Q12" s="163"/>
      <c r="R12" s="436"/>
      <c r="S12" s="162"/>
      <c r="T12" s="162"/>
      <c r="U12" s="162"/>
      <c r="V12" s="162"/>
      <c r="IW12" s="443">
        <v>21</v>
      </c>
    </row>
    <row r="13" spans="1:257" s="1739" customFormat="1" ht="14.65" customHeight="1">
      <c r="A13" s="1078"/>
      <c r="B13" s="1083"/>
      <c r="C13" s="1078"/>
      <c r="D13" s="387"/>
      <c r="E13" s="1078"/>
      <c r="F13" s="1078"/>
      <c r="G13" s="1078"/>
      <c r="H13" s="1078"/>
      <c r="I13" s="1078"/>
      <c r="J13" s="1078"/>
      <c r="K13" s="1078"/>
      <c r="L13" s="1078"/>
      <c r="M13" s="436"/>
      <c r="N13" s="436"/>
      <c r="O13" s="436"/>
      <c r="P13" s="436"/>
      <c r="Q13" s="163"/>
      <c r="R13" s="436"/>
      <c r="S13" s="162"/>
      <c r="T13" s="162"/>
      <c r="U13" s="162"/>
      <c r="V13" s="162"/>
      <c r="IW13" s="443">
        <v>14</v>
      </c>
    </row>
    <row r="14" spans="1:257" s="1739" customFormat="1" ht="1.1499999999999999" customHeight="1">
      <c r="A14" s="1078"/>
      <c r="B14" s="1083"/>
      <c r="C14" s="1078"/>
      <c r="D14" s="387"/>
      <c r="E14" s="1078"/>
      <c r="F14" s="1078"/>
      <c r="G14" s="1078"/>
      <c r="H14" s="1078"/>
      <c r="I14" s="1078"/>
      <c r="J14" s="1078"/>
      <c r="K14" s="1078"/>
      <c r="L14" s="1078"/>
      <c r="M14" s="436"/>
      <c r="N14" s="436"/>
      <c r="O14" s="436"/>
      <c r="P14" s="436"/>
      <c r="Q14" s="163"/>
      <c r="R14" s="436"/>
      <c r="S14" s="162"/>
      <c r="T14" s="162"/>
      <c r="U14" s="162"/>
      <c r="V14" s="162"/>
      <c r="IW14" s="443">
        <v>1</v>
      </c>
    </row>
    <row r="15" spans="1:257" ht="22.5" hidden="1" customHeight="1">
      <c r="A15" s="1078" t="s">
        <v>83</v>
      </c>
      <c r="B15" s="1083">
        <v>0</v>
      </c>
      <c r="C15" s="1078">
        <v>0</v>
      </c>
      <c r="D15" s="387">
        <v>3</v>
      </c>
      <c r="E15" s="1078">
        <v>6</v>
      </c>
      <c r="F15" s="1078">
        <v>27</v>
      </c>
      <c r="G15" s="1078">
        <v>16</v>
      </c>
      <c r="H15" s="1078">
        <v>12</v>
      </c>
      <c r="I15" s="1078">
        <v>32</v>
      </c>
      <c r="J15" s="1078">
        <v>41</v>
      </c>
      <c r="K15" s="1078">
        <v>41</v>
      </c>
      <c r="L15" s="1078">
        <v>89</v>
      </c>
      <c r="M15" s="436">
        <v>3</v>
      </c>
      <c r="N15" s="436">
        <v>8</v>
      </c>
      <c r="O15" s="436">
        <v>8</v>
      </c>
      <c r="P15" s="436">
        <v>8</v>
      </c>
      <c r="Q15" s="163">
        <v>25</v>
      </c>
      <c r="R15" s="436">
        <v>14</v>
      </c>
      <c r="S15" s="162">
        <v>8</v>
      </c>
      <c r="T15" s="162">
        <v>8</v>
      </c>
      <c r="U15" s="162">
        <v>8</v>
      </c>
      <c r="V15" s="162">
        <v>8</v>
      </c>
      <c r="W15" s="1078">
        <v>8</v>
      </c>
      <c r="X15" s="1078">
        <v>8</v>
      </c>
      <c r="Y15" s="1078">
        <v>8</v>
      </c>
      <c r="Z15" s="1078">
        <v>8</v>
      </c>
      <c r="AA15" s="1078">
        <v>8</v>
      </c>
      <c r="AB15" s="1078">
        <v>8</v>
      </c>
      <c r="AC15" s="1078">
        <v>8</v>
      </c>
      <c r="AD15" s="1078">
        <v>8</v>
      </c>
      <c r="AE15" s="1078">
        <v>8</v>
      </c>
      <c r="AF15" s="1078">
        <v>8</v>
      </c>
      <c r="AG15" s="1078">
        <v>8</v>
      </c>
      <c r="AH15" s="1078">
        <v>8</v>
      </c>
      <c r="AI15" s="1078">
        <v>8</v>
      </c>
      <c r="AJ15" s="1078">
        <v>8</v>
      </c>
      <c r="AK15" s="1078">
        <v>8</v>
      </c>
      <c r="AL15" s="1078">
        <v>8</v>
      </c>
      <c r="AM15" s="1078">
        <v>8</v>
      </c>
      <c r="AN15" s="1078">
        <v>8</v>
      </c>
      <c r="AO15" s="1078">
        <v>8</v>
      </c>
      <c r="AP15" s="1078">
        <v>8</v>
      </c>
      <c r="AQ15" s="1078">
        <v>8</v>
      </c>
      <c r="AR15" s="1078">
        <v>8</v>
      </c>
      <c r="AS15" s="1078">
        <v>8</v>
      </c>
      <c r="AT15" s="1078">
        <v>8</v>
      </c>
      <c r="AU15" s="1078">
        <v>8</v>
      </c>
      <c r="AV15" s="1078">
        <v>8</v>
      </c>
      <c r="AW15" s="1078">
        <v>8</v>
      </c>
      <c r="AX15" s="1078">
        <v>8</v>
      </c>
      <c r="AY15" s="1078">
        <v>8</v>
      </c>
      <c r="AZ15" s="1078">
        <v>8</v>
      </c>
      <c r="BA15" s="1078">
        <v>8</v>
      </c>
      <c r="BB15" s="1078">
        <v>8</v>
      </c>
      <c r="BC15" s="1078">
        <v>8</v>
      </c>
      <c r="BD15" s="1078">
        <v>8</v>
      </c>
      <c r="BE15" s="1078">
        <v>8</v>
      </c>
      <c r="BF15" s="1078">
        <v>8</v>
      </c>
      <c r="BG15" s="1078">
        <v>8</v>
      </c>
      <c r="BH15" s="1078">
        <v>8</v>
      </c>
      <c r="BI15" s="1078">
        <v>8</v>
      </c>
      <c r="BJ15" s="1078">
        <v>8</v>
      </c>
      <c r="BK15" s="1078">
        <v>8</v>
      </c>
      <c r="BL15" s="1078">
        <v>8</v>
      </c>
      <c r="BM15" s="1078">
        <v>8</v>
      </c>
      <c r="BN15" s="1078">
        <v>8</v>
      </c>
      <c r="BO15" s="1078">
        <v>8</v>
      </c>
      <c r="BP15" s="1078">
        <v>8</v>
      </c>
      <c r="BQ15" s="1078">
        <v>8</v>
      </c>
      <c r="BR15" s="1078">
        <v>8</v>
      </c>
      <c r="BS15" s="1078">
        <v>8</v>
      </c>
      <c r="BT15" s="1078">
        <v>8</v>
      </c>
      <c r="BU15" s="1078">
        <v>8</v>
      </c>
      <c r="BV15" s="1078">
        <v>8</v>
      </c>
      <c r="BW15" s="1078">
        <v>8</v>
      </c>
      <c r="BX15" s="1078">
        <v>8</v>
      </c>
      <c r="BY15" s="1078">
        <v>8</v>
      </c>
      <c r="BZ15" s="1078">
        <v>8</v>
      </c>
      <c r="CA15" s="1078">
        <v>8</v>
      </c>
      <c r="CB15" s="1078">
        <v>8</v>
      </c>
      <c r="CC15" s="1078">
        <v>8</v>
      </c>
      <c r="CD15" s="1078">
        <v>8</v>
      </c>
      <c r="CE15" s="1078">
        <v>8</v>
      </c>
      <c r="CF15" s="1078">
        <v>8</v>
      </c>
      <c r="CG15" s="1078">
        <v>8</v>
      </c>
      <c r="CH15" s="1078">
        <v>8</v>
      </c>
      <c r="CI15" s="1078">
        <v>8</v>
      </c>
      <c r="CJ15" s="1078">
        <v>8</v>
      </c>
      <c r="CK15" s="1078">
        <v>8</v>
      </c>
      <c r="CL15" s="1078">
        <v>8</v>
      </c>
      <c r="CM15" s="1078">
        <v>8</v>
      </c>
      <c r="CN15" s="1078">
        <v>8</v>
      </c>
      <c r="CO15" s="1078">
        <v>8</v>
      </c>
      <c r="CP15" s="1078">
        <v>8</v>
      </c>
      <c r="CQ15" s="1078">
        <v>8</v>
      </c>
      <c r="CR15" s="1078">
        <v>8</v>
      </c>
      <c r="CS15" s="1078">
        <v>8</v>
      </c>
      <c r="CT15" s="1078">
        <v>8</v>
      </c>
      <c r="CU15" s="1078">
        <v>8</v>
      </c>
      <c r="CV15" s="1078">
        <v>8</v>
      </c>
      <c r="CW15" s="1078">
        <v>8</v>
      </c>
      <c r="CX15" s="1078">
        <v>8</v>
      </c>
      <c r="CY15" s="1078">
        <v>8</v>
      </c>
      <c r="CZ15" s="1078">
        <v>8</v>
      </c>
      <c r="DA15" s="1078">
        <v>8</v>
      </c>
      <c r="DB15" s="1078">
        <v>8</v>
      </c>
      <c r="DC15" s="1078">
        <v>8</v>
      </c>
      <c r="DD15" s="1078">
        <v>8</v>
      </c>
      <c r="DE15" s="1078">
        <v>8</v>
      </c>
      <c r="DF15" s="1078">
        <v>8</v>
      </c>
      <c r="DG15" s="1078">
        <v>8</v>
      </c>
      <c r="DH15" s="1078">
        <v>8</v>
      </c>
      <c r="DI15" s="1078">
        <v>8</v>
      </c>
      <c r="DJ15" s="1078">
        <v>8</v>
      </c>
      <c r="DK15" s="1078">
        <v>8</v>
      </c>
      <c r="DL15" s="1078">
        <v>8</v>
      </c>
      <c r="DM15" s="1078">
        <v>8</v>
      </c>
      <c r="DN15" s="1078">
        <v>8</v>
      </c>
      <c r="DO15" s="1078">
        <v>8</v>
      </c>
      <c r="DP15" s="1078">
        <v>8</v>
      </c>
      <c r="DQ15" s="1078">
        <v>8</v>
      </c>
      <c r="DR15" s="1078">
        <v>8</v>
      </c>
      <c r="DS15" s="1078">
        <v>8</v>
      </c>
      <c r="DT15" s="1078">
        <v>8</v>
      </c>
      <c r="DU15" s="1078">
        <v>8</v>
      </c>
      <c r="DV15" s="1078">
        <v>8</v>
      </c>
      <c r="DW15" s="1078">
        <v>8</v>
      </c>
      <c r="DX15" s="1078">
        <v>8</v>
      </c>
      <c r="DY15" s="1078">
        <v>8</v>
      </c>
      <c r="DZ15" s="1078">
        <v>8</v>
      </c>
      <c r="EA15" s="1078">
        <v>8</v>
      </c>
      <c r="EB15" s="1078">
        <v>8</v>
      </c>
      <c r="EC15" s="1078">
        <v>8</v>
      </c>
      <c r="ED15" s="1078">
        <v>8</v>
      </c>
      <c r="EE15" s="1078">
        <v>8</v>
      </c>
      <c r="EF15" s="1078">
        <v>8</v>
      </c>
      <c r="EG15" s="1078">
        <v>8</v>
      </c>
      <c r="EH15" s="1078">
        <v>8</v>
      </c>
      <c r="EI15" s="1078">
        <v>8</v>
      </c>
      <c r="EJ15" s="1078">
        <v>8</v>
      </c>
      <c r="EK15" s="1078">
        <v>8</v>
      </c>
      <c r="EL15" s="1078">
        <v>8</v>
      </c>
      <c r="EM15" s="1078">
        <v>8</v>
      </c>
      <c r="EN15" s="1078">
        <v>8</v>
      </c>
      <c r="EO15" s="1078">
        <v>8</v>
      </c>
      <c r="EP15" s="1078">
        <v>8</v>
      </c>
      <c r="EQ15" s="1078">
        <v>8</v>
      </c>
      <c r="ER15" s="1078">
        <v>8</v>
      </c>
      <c r="ES15" s="1078">
        <v>8</v>
      </c>
      <c r="ET15" s="1078">
        <v>8</v>
      </c>
      <c r="EU15" s="1078">
        <v>8</v>
      </c>
      <c r="EV15" s="1078">
        <v>8</v>
      </c>
      <c r="EW15" s="1078">
        <v>8</v>
      </c>
      <c r="EX15" s="1078">
        <v>8</v>
      </c>
      <c r="EY15" s="1078">
        <v>8</v>
      </c>
      <c r="EZ15" s="1078">
        <v>8</v>
      </c>
      <c r="FA15" s="1078">
        <v>8</v>
      </c>
      <c r="FB15" s="1078">
        <v>8</v>
      </c>
      <c r="FC15" s="1078">
        <v>8</v>
      </c>
      <c r="FD15" s="1078">
        <v>8</v>
      </c>
      <c r="FE15" s="1078">
        <v>8</v>
      </c>
      <c r="FF15" s="1078">
        <v>8</v>
      </c>
      <c r="FG15" s="1078">
        <v>8</v>
      </c>
      <c r="FH15" s="1078">
        <v>8</v>
      </c>
      <c r="FI15" s="1078">
        <v>8</v>
      </c>
      <c r="FJ15" s="1078">
        <v>8</v>
      </c>
      <c r="FK15" s="1078">
        <v>8</v>
      </c>
      <c r="FL15" s="1078">
        <v>8</v>
      </c>
      <c r="FM15" s="1078">
        <v>8</v>
      </c>
      <c r="FN15" s="1078">
        <v>8</v>
      </c>
      <c r="FO15" s="1078">
        <v>8</v>
      </c>
      <c r="FP15" s="1078">
        <v>8</v>
      </c>
      <c r="FQ15" s="1078">
        <v>8</v>
      </c>
      <c r="FR15" s="1078">
        <v>8</v>
      </c>
      <c r="FS15" s="1078">
        <v>8</v>
      </c>
      <c r="FT15" s="1078">
        <v>8</v>
      </c>
      <c r="FU15" s="1078">
        <v>8</v>
      </c>
      <c r="FV15" s="1078">
        <v>8</v>
      </c>
      <c r="FW15" s="1078">
        <v>8</v>
      </c>
      <c r="FX15" s="1078">
        <v>8</v>
      </c>
      <c r="FY15" s="1078">
        <v>8</v>
      </c>
      <c r="FZ15" s="1078">
        <v>8</v>
      </c>
      <c r="GA15" s="1078">
        <v>8</v>
      </c>
      <c r="GB15" s="1078">
        <v>8</v>
      </c>
      <c r="GC15" s="1078">
        <v>8</v>
      </c>
      <c r="GD15" s="1078">
        <v>8</v>
      </c>
      <c r="GE15" s="1078">
        <v>8</v>
      </c>
      <c r="GF15" s="1078">
        <v>8</v>
      </c>
      <c r="GG15" s="1078">
        <v>8</v>
      </c>
      <c r="GH15" s="1078">
        <v>8</v>
      </c>
      <c r="GI15" s="1078">
        <v>8</v>
      </c>
      <c r="GJ15" s="1078">
        <v>8</v>
      </c>
      <c r="GK15" s="1078">
        <v>8</v>
      </c>
      <c r="GL15" s="1078">
        <v>8</v>
      </c>
      <c r="GM15" s="1078">
        <v>8</v>
      </c>
      <c r="GN15" s="1078">
        <v>8</v>
      </c>
      <c r="GO15" s="1078">
        <v>8</v>
      </c>
      <c r="GP15" s="1078">
        <v>8</v>
      </c>
      <c r="GQ15" s="1078">
        <v>8</v>
      </c>
      <c r="GR15" s="1078">
        <v>8</v>
      </c>
      <c r="GS15" s="1078">
        <v>8</v>
      </c>
      <c r="GT15" s="1078">
        <v>8</v>
      </c>
      <c r="GU15" s="1078">
        <v>8</v>
      </c>
      <c r="GV15" s="1078">
        <v>8</v>
      </c>
      <c r="GW15" s="1078">
        <v>8</v>
      </c>
      <c r="GX15" s="1078">
        <v>8</v>
      </c>
      <c r="GY15" s="1078">
        <v>8</v>
      </c>
      <c r="GZ15" s="1078">
        <v>8</v>
      </c>
      <c r="HA15" s="1078">
        <v>8</v>
      </c>
      <c r="HB15" s="1078">
        <v>8</v>
      </c>
      <c r="HC15" s="1078">
        <v>8</v>
      </c>
      <c r="HD15" s="1078">
        <v>8</v>
      </c>
      <c r="HE15" s="1078">
        <v>8</v>
      </c>
      <c r="HF15" s="1078">
        <v>8</v>
      </c>
      <c r="HG15" s="1078">
        <v>8</v>
      </c>
      <c r="HH15" s="1078">
        <v>8</v>
      </c>
      <c r="HI15" s="1078">
        <v>8</v>
      </c>
      <c r="HJ15" s="1078">
        <v>8</v>
      </c>
      <c r="HK15" s="1078">
        <v>8</v>
      </c>
      <c r="HL15" s="1078">
        <v>8</v>
      </c>
      <c r="HM15" s="1078">
        <v>8</v>
      </c>
      <c r="HN15" s="1078">
        <v>8</v>
      </c>
      <c r="HO15" s="1078">
        <v>8</v>
      </c>
      <c r="HP15" s="1078">
        <v>8</v>
      </c>
      <c r="HQ15" s="1078">
        <v>8</v>
      </c>
      <c r="HR15" s="1078">
        <v>8</v>
      </c>
      <c r="HS15" s="1078">
        <v>8</v>
      </c>
      <c r="HT15" s="1078">
        <v>8</v>
      </c>
      <c r="HU15" s="1078">
        <v>8</v>
      </c>
      <c r="HV15" s="1078">
        <v>8</v>
      </c>
      <c r="HW15" s="1078">
        <v>8</v>
      </c>
      <c r="HX15" s="1078">
        <v>8</v>
      </c>
      <c r="HY15" s="1078">
        <v>8</v>
      </c>
      <c r="HZ15" s="1078">
        <v>8</v>
      </c>
      <c r="IA15" s="1078">
        <v>8</v>
      </c>
      <c r="IB15" s="1078">
        <v>8</v>
      </c>
      <c r="IC15" s="1078">
        <v>8</v>
      </c>
      <c r="ID15" s="1078">
        <v>8</v>
      </c>
      <c r="IE15" s="1078">
        <v>8</v>
      </c>
      <c r="IF15" s="1078">
        <v>8</v>
      </c>
      <c r="IG15" s="1078">
        <v>8</v>
      </c>
      <c r="IH15" s="1078">
        <v>8</v>
      </c>
      <c r="II15" s="1078">
        <v>8</v>
      </c>
      <c r="IJ15" s="1078">
        <v>8</v>
      </c>
      <c r="IK15" s="1078">
        <v>8</v>
      </c>
      <c r="IL15" s="1078">
        <v>8</v>
      </c>
      <c r="IM15" s="1078">
        <v>8</v>
      </c>
      <c r="IN15" s="1078">
        <v>8</v>
      </c>
      <c r="IO15" s="1078">
        <v>8</v>
      </c>
      <c r="IP15" s="1078">
        <v>8</v>
      </c>
      <c r="IQ15" s="1078">
        <v>8</v>
      </c>
      <c r="IR15" s="1078">
        <v>8</v>
      </c>
      <c r="IS15" s="1078">
        <v>8</v>
      </c>
      <c r="IT15" s="1078">
        <v>8</v>
      </c>
      <c r="IU15" s="1078">
        <v>8</v>
      </c>
      <c r="IV15" s="1078">
        <v>8</v>
      </c>
      <c r="IW15" s="1078">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58" hidden="1"/>
    <col min="2" max="2" width="9.140625" style="1289" hidden="1"/>
    <col min="3" max="3" width="3.7109375" style="1558" hidden="1" customWidth="1"/>
    <col min="4" max="4" width="3" style="1759" customWidth="1"/>
    <col min="5" max="5" width="6" style="1558" customWidth="1"/>
    <col min="6" max="6" width="27" style="1558" customWidth="1"/>
    <col min="7" max="7" width="16" style="1558" customWidth="1"/>
    <col min="8" max="8" width="12" style="1558" customWidth="1"/>
    <col min="9" max="9" width="32" style="1558" customWidth="1"/>
    <col min="10" max="11" width="41" style="1558" customWidth="1"/>
    <col min="12" max="12" width="89" style="1558" customWidth="1"/>
    <col min="13" max="13" width="3" style="1547" customWidth="1"/>
    <col min="14" max="16" width="8" style="1547" customWidth="1"/>
    <col min="17" max="17" width="25" style="1547" customWidth="1"/>
    <col min="18" max="18" width="14" style="1547" customWidth="1"/>
    <col min="19" max="22" width="8" style="162" customWidth="1"/>
    <col min="23" max="256" width="8" style="1558" customWidth="1"/>
    <col min="257" max="257" width="9.140625" style="1558" hidden="1"/>
  </cols>
  <sheetData>
    <row r="1" spans="1:257" ht="22.5" hidden="1" customHeight="1">
      <c r="IW1" s="1554" t="s">
        <v>14</v>
      </c>
    </row>
    <row r="2" spans="1:257" s="1767" customFormat="1" ht="22.5" hidden="1" customHeight="1">
      <c r="A2" s="760"/>
      <c r="B2" s="1289">
        <v>1</v>
      </c>
      <c r="C2" s="1289"/>
      <c r="D2" s="1842" t="s">
        <v>104</v>
      </c>
      <c r="E2" s="1821"/>
      <c r="F2" s="1823" t="str">
        <f>IF(ROIV_INFO_NAME="","",ROIV_INFO_NAME)</f>
        <v>ПАО "ТГК-2"</v>
      </c>
      <c r="G2" s="1653" t="s">
        <v>22</v>
      </c>
      <c r="H2" s="1833"/>
      <c r="I2" s="1461"/>
      <c r="J2" s="747"/>
      <c r="K2" s="747"/>
      <c r="L2" s="165"/>
      <c r="M2" s="1458" t="e">
        <f ca="1">MERGEVALUE(F2)</f>
        <v>#NAME?</v>
      </c>
      <c r="N2" s="1559"/>
      <c r="O2" s="1559"/>
      <c r="P2" s="1547" t="str">
        <f t="array" ref="P2">IF(ISERROR(MATCH(MID(Q2,1,250),MID(note_ter,1,250),0)),"n","y")</f>
        <v>n</v>
      </c>
      <c r="Q2" s="1559"/>
      <c r="R2" s="1547" t="str">
        <f>G2&amp;"("&amp;L2&amp;")"</f>
        <v>()</v>
      </c>
      <c r="S2" s="1289"/>
      <c r="T2" s="1289"/>
      <c r="U2" s="356"/>
      <c r="V2" s="1289"/>
      <c r="W2" s="1289"/>
      <c r="X2" s="1289"/>
      <c r="Y2" s="762"/>
      <c r="Z2" s="762"/>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2"/>
      <c r="BW2" s="762"/>
      <c r="BX2" s="762"/>
      <c r="BY2" s="762"/>
      <c r="BZ2" s="762"/>
      <c r="CA2" s="762"/>
      <c r="CB2" s="762"/>
      <c r="CC2" s="762"/>
      <c r="CD2" s="762"/>
      <c r="CE2" s="762"/>
      <c r="IW2" s="560">
        <v>0</v>
      </c>
    </row>
    <row r="3" spans="1:257" s="1565" customFormat="1" ht="5.25" hidden="1" customHeight="1">
      <c r="A3" s="1564"/>
      <c r="D3" s="1810"/>
      <c r="F3" s="185" t="s">
        <v>84</v>
      </c>
      <c r="G3" s="1656" t="s">
        <v>85</v>
      </c>
      <c r="H3" s="1810"/>
      <c r="I3" s="1810"/>
      <c r="J3" s="1810"/>
      <c r="K3" s="1810"/>
      <c r="L3" s="164" t="s">
        <v>86</v>
      </c>
      <c r="M3" s="185" t="s">
        <v>84</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59">
        <v>0</v>
      </c>
    </row>
    <row r="4" spans="1:257" s="1739" customFormat="1" ht="14.65" customHeight="1">
      <c r="A4" s="1554"/>
      <c r="B4" s="1289"/>
      <c r="C4" s="1554"/>
      <c r="D4" s="1438"/>
      <c r="E4" s="1558"/>
      <c r="F4" s="1558"/>
      <c r="G4" s="1558"/>
      <c r="H4" s="1558"/>
      <c r="I4" s="1558"/>
      <c r="J4" s="1558"/>
      <c r="K4" s="1558"/>
      <c r="L4" s="1812"/>
      <c r="M4" s="185"/>
      <c r="N4" s="1547"/>
      <c r="O4" s="1547"/>
      <c r="P4" s="1547"/>
      <c r="Q4" s="1547"/>
      <c r="R4" s="1547"/>
      <c r="S4" s="162"/>
      <c r="T4" s="162"/>
      <c r="U4" s="162"/>
      <c r="V4" s="162"/>
      <c r="IW4" s="1532">
        <v>14</v>
      </c>
    </row>
    <row r="5" spans="1:257" s="1739" customFormat="1" ht="27.4" customHeight="1">
      <c r="A5" s="1554"/>
      <c r="B5" s="1289"/>
      <c r="C5" s="1554"/>
      <c r="D5" s="1438"/>
      <c r="E5" s="2355"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355"/>
      <c r="G5" s="2355"/>
      <c r="H5" s="2355"/>
      <c r="I5" s="2355"/>
      <c r="J5" s="2355"/>
      <c r="K5" s="2355"/>
      <c r="L5" s="1558"/>
      <c r="M5" s="185"/>
      <c r="N5" s="1547"/>
      <c r="O5" s="1547"/>
      <c r="P5" s="1547"/>
      <c r="Q5" s="1547"/>
      <c r="R5" s="1547"/>
      <c r="S5" s="162"/>
      <c r="T5" s="162"/>
      <c r="U5" s="162"/>
      <c r="V5" s="162"/>
      <c r="IW5" s="1532">
        <v>26</v>
      </c>
    </row>
    <row r="6" spans="1:257" s="1739" customFormat="1" ht="14.65" customHeight="1">
      <c r="A6" s="1554"/>
      <c r="B6" s="1289"/>
      <c r="C6" s="1554"/>
      <c r="D6" s="1438"/>
      <c r="E6" s="1558"/>
      <c r="F6" s="552"/>
      <c r="G6" s="552"/>
      <c r="H6" s="552"/>
      <c r="I6" s="552"/>
      <c r="J6" s="552"/>
      <c r="K6" s="552"/>
      <c r="L6" s="1175"/>
      <c r="M6" s="1547"/>
      <c r="N6" s="1547"/>
      <c r="O6" s="1547"/>
      <c r="P6" s="1547"/>
      <c r="Q6" s="1547"/>
      <c r="R6" s="1547"/>
      <c r="S6" s="162"/>
      <c r="T6" s="162"/>
      <c r="U6" s="162"/>
      <c r="V6" s="162"/>
      <c r="IW6" s="1532">
        <v>14</v>
      </c>
    </row>
    <row r="7" spans="1:257" s="1739" customFormat="1" ht="14.65" customHeight="1">
      <c r="A7" s="1554"/>
      <c r="B7" s="1289"/>
      <c r="C7" s="1554"/>
      <c r="D7" s="1438"/>
      <c r="E7" s="2350" t="s">
        <v>319</v>
      </c>
      <c r="F7" s="2356"/>
      <c r="G7" s="2356"/>
      <c r="H7" s="2356"/>
      <c r="I7" s="2356"/>
      <c r="J7" s="2356"/>
      <c r="K7" s="2356"/>
      <c r="L7" s="2734" t="s">
        <v>320</v>
      </c>
      <c r="M7" s="1547"/>
      <c r="N7" s="1547"/>
      <c r="O7" s="1547"/>
      <c r="P7" s="1547"/>
      <c r="Q7" s="1547"/>
      <c r="R7" s="1547"/>
      <c r="S7" s="162"/>
      <c r="T7" s="162"/>
      <c r="U7" s="162"/>
      <c r="V7" s="162"/>
      <c r="IW7" s="1532">
        <v>14</v>
      </c>
    </row>
    <row r="8" spans="1:257" s="1739" customFormat="1" ht="67.150000000000006" customHeight="1">
      <c r="A8" s="1554"/>
      <c r="B8" s="1289"/>
      <c r="C8" s="1554"/>
      <c r="D8" s="1438"/>
      <c r="E8" s="2738" t="s">
        <v>89</v>
      </c>
      <c r="F8" s="2738" t="s">
        <v>2059</v>
      </c>
      <c r="G8" s="2740" t="s">
        <v>2060</v>
      </c>
      <c r="H8" s="2741"/>
      <c r="I8" s="2742"/>
      <c r="J8" s="2738" t="s">
        <v>2061</v>
      </c>
      <c r="K8" s="273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736"/>
      <c r="M8" s="1547"/>
      <c r="N8" s="1547"/>
      <c r="O8" s="1547"/>
      <c r="P8" s="1547"/>
      <c r="Q8" s="1547"/>
      <c r="R8" s="1547"/>
      <c r="S8" s="162"/>
      <c r="T8" s="162"/>
      <c r="U8" s="162"/>
      <c r="V8" s="162"/>
      <c r="IW8" s="1532">
        <v>64</v>
      </c>
    </row>
    <row r="9" spans="1:257" s="1739" customFormat="1" ht="29.25" customHeight="1">
      <c r="A9" s="1554"/>
      <c r="B9" s="1289"/>
      <c r="C9" s="1554"/>
      <c r="D9" s="1438"/>
      <c r="E9" s="2739"/>
      <c r="F9" s="2739"/>
      <c r="G9" s="1811" t="s">
        <v>2055</v>
      </c>
      <c r="H9" s="1811" t="s">
        <v>2056</v>
      </c>
      <c r="I9" s="1811" t="s">
        <v>2057</v>
      </c>
      <c r="J9" s="2739"/>
      <c r="K9" s="2739"/>
      <c r="L9" s="2735"/>
      <c r="M9" s="1547"/>
      <c r="N9" s="1547"/>
      <c r="O9" s="1547"/>
      <c r="P9" s="1547"/>
      <c r="Q9" s="1547"/>
      <c r="R9" s="1547"/>
      <c r="S9" s="162"/>
      <c r="T9" s="162"/>
      <c r="U9" s="162"/>
      <c r="V9" s="162"/>
      <c r="IW9" s="1532">
        <v>28</v>
      </c>
    </row>
    <row r="10" spans="1:257" s="1767" customFormat="1" ht="1.1499999999999999" customHeight="1">
      <c r="A10" s="2353"/>
      <c r="B10" s="1289">
        <v>1</v>
      </c>
      <c r="C10" s="1289"/>
      <c r="D10" s="729"/>
      <c r="E10" s="724">
        <v>0</v>
      </c>
      <c r="F10" s="1808" t="str">
        <f>IF(ROIV_INFO_NAME="","",ROIV_INFO_NAME)</f>
        <v>ПАО "ТГК-2"</v>
      </c>
      <c r="G10" s="1654" t="s">
        <v>22</v>
      </c>
      <c r="H10" s="1820"/>
      <c r="I10" s="1820"/>
      <c r="J10" s="455"/>
      <c r="K10" s="455"/>
      <c r="L10" s="270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58" t="e">
        <f ca="1">MERGEVALUE(F10)</f>
        <v>#NAME?</v>
      </c>
      <c r="N10" s="1559"/>
      <c r="O10" s="1559"/>
      <c r="P10" s="1547" t="str">
        <f t="array" ref="P10">IF(ISERROR(MATCH(MID(Q10,1,250),MID(note_ter,1,250),0)),"n","y")</f>
        <v>n</v>
      </c>
      <c r="Q10" s="1559"/>
      <c r="R10" s="154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89"/>
      <c r="T10" s="1289"/>
      <c r="U10" s="356"/>
      <c r="V10" s="1289"/>
      <c r="W10" s="1289"/>
      <c r="X10" s="1289"/>
      <c r="Y10" s="762"/>
      <c r="Z10" s="762"/>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2"/>
      <c r="BW10" s="762"/>
      <c r="BX10" s="762"/>
      <c r="BY10" s="762"/>
      <c r="BZ10" s="762"/>
      <c r="CA10" s="762"/>
      <c r="CB10" s="762"/>
      <c r="CC10" s="762"/>
      <c r="CD10" s="762"/>
      <c r="CE10" s="762"/>
      <c r="IW10" s="560">
        <v>1</v>
      </c>
    </row>
    <row r="11" spans="1:257" s="1767" customFormat="1" ht="15.75" customHeight="1">
      <c r="A11" s="2353"/>
      <c r="B11" s="1289"/>
      <c r="C11" s="348"/>
      <c r="D11" s="730"/>
      <c r="E11" s="357"/>
      <c r="F11" s="587" t="s">
        <v>2058</v>
      </c>
      <c r="G11" s="124"/>
      <c r="H11" s="124"/>
      <c r="I11" s="124"/>
      <c r="J11" s="124"/>
      <c r="K11" s="360"/>
      <c r="L11" s="2737"/>
      <c r="M11" s="1459"/>
      <c r="N11" s="1559"/>
      <c r="O11" s="1559"/>
      <c r="P11" s="1559"/>
      <c r="Q11" s="1547"/>
      <c r="R11" s="1559"/>
      <c r="S11" s="1289"/>
      <c r="T11" s="1289"/>
      <c r="U11" s="356"/>
      <c r="V11" s="1289"/>
      <c r="W11" s="1289"/>
      <c r="X11" s="1289"/>
      <c r="Y11" s="762"/>
      <c r="Z11" s="762"/>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2"/>
      <c r="BW11" s="762"/>
      <c r="BX11" s="762"/>
      <c r="BY11" s="762"/>
      <c r="BZ11" s="762"/>
      <c r="CA11" s="762"/>
      <c r="CB11" s="762"/>
      <c r="CC11" s="762"/>
      <c r="CD11" s="762"/>
      <c r="CE11" s="762"/>
      <c r="IW11" s="560">
        <v>15</v>
      </c>
    </row>
    <row r="12" spans="1:257" s="1739" customFormat="1" ht="21.95" customHeight="1">
      <c r="A12" s="1554"/>
      <c r="B12" s="1289"/>
      <c r="C12" s="1554"/>
      <c r="D12" s="1556"/>
      <c r="E12" s="117"/>
      <c r="F12" s="117"/>
      <c r="G12" s="117"/>
      <c r="H12" s="117"/>
      <c r="I12" s="117"/>
      <c r="J12" s="117"/>
      <c r="K12" s="117"/>
      <c r="L12" s="117"/>
      <c r="M12" s="1547"/>
      <c r="N12" s="1547"/>
      <c r="O12" s="1547"/>
      <c r="P12" s="1547"/>
      <c r="Q12" s="1547"/>
      <c r="R12" s="1547"/>
      <c r="S12" s="162"/>
      <c r="T12" s="162"/>
      <c r="U12" s="162"/>
      <c r="V12" s="162"/>
      <c r="IW12" s="1532">
        <v>21</v>
      </c>
    </row>
    <row r="13" spans="1:257" s="1739" customFormat="1" ht="14.65" customHeight="1">
      <c r="A13" s="1554"/>
      <c r="B13" s="1289"/>
      <c r="C13" s="1554"/>
      <c r="D13" s="1556"/>
      <c r="E13" s="1554"/>
      <c r="F13" s="1554"/>
      <c r="G13" s="1554"/>
      <c r="H13" s="1554"/>
      <c r="I13" s="1554"/>
      <c r="J13" s="1554"/>
      <c r="K13" s="1554"/>
      <c r="L13" s="1554"/>
      <c r="M13" s="1547"/>
      <c r="N13" s="1547"/>
      <c r="O13" s="1547"/>
      <c r="P13" s="1547"/>
      <c r="Q13" s="1547"/>
      <c r="R13" s="1547"/>
      <c r="S13" s="162"/>
      <c r="T13" s="162"/>
      <c r="U13" s="162"/>
      <c r="V13" s="162"/>
      <c r="IW13" s="1532">
        <v>14</v>
      </c>
    </row>
    <row r="14" spans="1:257" s="1739" customFormat="1" ht="1.1499999999999999" customHeight="1">
      <c r="A14" s="1554"/>
      <c r="B14" s="1289"/>
      <c r="C14" s="1554"/>
      <c r="D14" s="1556"/>
      <c r="E14" s="1554"/>
      <c r="F14" s="1554"/>
      <c r="G14" s="1554"/>
      <c r="H14" s="1554"/>
      <c r="I14" s="1554"/>
      <c r="J14" s="1554"/>
      <c r="K14" s="1554"/>
      <c r="L14" s="1554"/>
      <c r="M14" s="1547"/>
      <c r="N14" s="1547"/>
      <c r="O14" s="1547"/>
      <c r="P14" s="1547"/>
      <c r="Q14" s="1547"/>
      <c r="R14" s="1547"/>
      <c r="S14" s="162"/>
      <c r="T14" s="162"/>
      <c r="U14" s="162"/>
      <c r="V14" s="162"/>
      <c r="IW14" s="1532">
        <v>1</v>
      </c>
    </row>
    <row r="15" spans="1:257" ht="22.5" hidden="1" customHeight="1">
      <c r="A15" s="1554" t="s">
        <v>83</v>
      </c>
      <c r="B15" s="1289">
        <v>0</v>
      </c>
      <c r="C15" s="1554">
        <v>0</v>
      </c>
      <c r="D15" s="1556">
        <v>3</v>
      </c>
      <c r="E15" s="1554">
        <v>6</v>
      </c>
      <c r="F15" s="1554">
        <v>27</v>
      </c>
      <c r="G15" s="1554">
        <v>16</v>
      </c>
      <c r="H15" s="1554">
        <v>12</v>
      </c>
      <c r="I15" s="1554">
        <v>32</v>
      </c>
      <c r="J15" s="1554">
        <v>41</v>
      </c>
      <c r="K15" s="1554">
        <v>41</v>
      </c>
      <c r="L15" s="1554">
        <v>89</v>
      </c>
      <c r="M15" s="1547">
        <v>3</v>
      </c>
      <c r="N15" s="1547">
        <v>8</v>
      </c>
      <c r="O15" s="1547">
        <v>8</v>
      </c>
      <c r="P15" s="1547">
        <v>8</v>
      </c>
      <c r="Q15" s="1547">
        <v>25</v>
      </c>
      <c r="R15" s="1547">
        <v>14</v>
      </c>
      <c r="S15" s="162">
        <v>8</v>
      </c>
      <c r="T15" s="162">
        <v>8</v>
      </c>
      <c r="U15" s="162">
        <v>8</v>
      </c>
      <c r="V15" s="162">
        <v>8</v>
      </c>
      <c r="W15" s="1554">
        <v>8</v>
      </c>
      <c r="X15" s="1554">
        <v>8</v>
      </c>
      <c r="Y15" s="1554">
        <v>8</v>
      </c>
      <c r="Z15" s="1554">
        <v>8</v>
      </c>
      <c r="AA15" s="1554">
        <v>8</v>
      </c>
      <c r="AB15" s="1554">
        <v>8</v>
      </c>
      <c r="AC15" s="1554">
        <v>8</v>
      </c>
      <c r="AD15" s="1554">
        <v>8</v>
      </c>
      <c r="AE15" s="1554">
        <v>8</v>
      </c>
      <c r="AF15" s="1554">
        <v>8</v>
      </c>
      <c r="AG15" s="1554">
        <v>8</v>
      </c>
      <c r="AH15" s="1554">
        <v>8</v>
      </c>
      <c r="AI15" s="1554">
        <v>8</v>
      </c>
      <c r="AJ15" s="1554">
        <v>8</v>
      </c>
      <c r="AK15" s="1554">
        <v>8</v>
      </c>
      <c r="AL15" s="1554">
        <v>8</v>
      </c>
      <c r="AM15" s="1554">
        <v>8</v>
      </c>
      <c r="AN15" s="1554">
        <v>8</v>
      </c>
      <c r="AO15" s="1554">
        <v>8</v>
      </c>
      <c r="AP15" s="1554">
        <v>8</v>
      </c>
      <c r="AQ15" s="1554">
        <v>8</v>
      </c>
      <c r="AR15" s="1554">
        <v>8</v>
      </c>
      <c r="AS15" s="1554">
        <v>8</v>
      </c>
      <c r="AT15" s="1554">
        <v>8</v>
      </c>
      <c r="AU15" s="1554">
        <v>8</v>
      </c>
      <c r="AV15" s="1554">
        <v>8</v>
      </c>
      <c r="AW15" s="1554">
        <v>8</v>
      </c>
      <c r="AX15" s="1554">
        <v>8</v>
      </c>
      <c r="AY15" s="1554">
        <v>8</v>
      </c>
      <c r="AZ15" s="1554">
        <v>8</v>
      </c>
      <c r="BA15" s="1554">
        <v>8</v>
      </c>
      <c r="BB15" s="1554">
        <v>8</v>
      </c>
      <c r="BC15" s="1554">
        <v>8</v>
      </c>
      <c r="BD15" s="1554">
        <v>8</v>
      </c>
      <c r="BE15" s="1554">
        <v>8</v>
      </c>
      <c r="BF15" s="1554">
        <v>8</v>
      </c>
      <c r="BG15" s="1554">
        <v>8</v>
      </c>
      <c r="BH15" s="1554">
        <v>8</v>
      </c>
      <c r="BI15" s="1554">
        <v>8</v>
      </c>
      <c r="BJ15" s="1554">
        <v>8</v>
      </c>
      <c r="BK15" s="1554">
        <v>8</v>
      </c>
      <c r="BL15" s="1554">
        <v>8</v>
      </c>
      <c r="BM15" s="1554">
        <v>8</v>
      </c>
      <c r="BN15" s="1554">
        <v>8</v>
      </c>
      <c r="BO15" s="1554">
        <v>8</v>
      </c>
      <c r="BP15" s="1554">
        <v>8</v>
      </c>
      <c r="BQ15" s="1554">
        <v>8</v>
      </c>
      <c r="BR15" s="1554">
        <v>8</v>
      </c>
      <c r="BS15" s="1554">
        <v>8</v>
      </c>
      <c r="BT15" s="1554">
        <v>8</v>
      </c>
      <c r="BU15" s="1554">
        <v>8</v>
      </c>
      <c r="BV15" s="1554">
        <v>8</v>
      </c>
      <c r="BW15" s="1554">
        <v>8</v>
      </c>
      <c r="BX15" s="1554">
        <v>8</v>
      </c>
      <c r="BY15" s="1554">
        <v>8</v>
      </c>
      <c r="BZ15" s="1554">
        <v>8</v>
      </c>
      <c r="CA15" s="1554">
        <v>8</v>
      </c>
      <c r="CB15" s="1554">
        <v>8</v>
      </c>
      <c r="CC15" s="1554">
        <v>8</v>
      </c>
      <c r="CD15" s="1554">
        <v>8</v>
      </c>
      <c r="CE15" s="1554">
        <v>8</v>
      </c>
      <c r="CF15" s="1554">
        <v>8</v>
      </c>
      <c r="CG15" s="1554">
        <v>8</v>
      </c>
      <c r="CH15" s="1554">
        <v>8</v>
      </c>
      <c r="CI15" s="1554">
        <v>8</v>
      </c>
      <c r="CJ15" s="1554">
        <v>8</v>
      </c>
      <c r="CK15" s="1554">
        <v>8</v>
      </c>
      <c r="CL15" s="1554">
        <v>8</v>
      </c>
      <c r="CM15" s="1554">
        <v>8</v>
      </c>
      <c r="CN15" s="1554">
        <v>8</v>
      </c>
      <c r="CO15" s="1554">
        <v>8</v>
      </c>
      <c r="CP15" s="1554">
        <v>8</v>
      </c>
      <c r="CQ15" s="1554">
        <v>8</v>
      </c>
      <c r="CR15" s="1554">
        <v>8</v>
      </c>
      <c r="CS15" s="1554">
        <v>8</v>
      </c>
      <c r="CT15" s="1554">
        <v>8</v>
      </c>
      <c r="CU15" s="1554">
        <v>8</v>
      </c>
      <c r="CV15" s="1554">
        <v>8</v>
      </c>
      <c r="CW15" s="1554">
        <v>8</v>
      </c>
      <c r="CX15" s="1554">
        <v>8</v>
      </c>
      <c r="CY15" s="1554">
        <v>8</v>
      </c>
      <c r="CZ15" s="1554">
        <v>8</v>
      </c>
      <c r="DA15" s="1554">
        <v>8</v>
      </c>
      <c r="DB15" s="1554">
        <v>8</v>
      </c>
      <c r="DC15" s="1554">
        <v>8</v>
      </c>
      <c r="DD15" s="1554">
        <v>8</v>
      </c>
      <c r="DE15" s="1554">
        <v>8</v>
      </c>
      <c r="DF15" s="1554">
        <v>8</v>
      </c>
      <c r="DG15" s="1554">
        <v>8</v>
      </c>
      <c r="DH15" s="1554">
        <v>8</v>
      </c>
      <c r="DI15" s="1554">
        <v>8</v>
      </c>
      <c r="DJ15" s="1554">
        <v>8</v>
      </c>
      <c r="DK15" s="1554">
        <v>8</v>
      </c>
      <c r="DL15" s="1554">
        <v>8</v>
      </c>
      <c r="DM15" s="1554">
        <v>8</v>
      </c>
      <c r="DN15" s="1554">
        <v>8</v>
      </c>
      <c r="DO15" s="1554">
        <v>8</v>
      </c>
      <c r="DP15" s="1554">
        <v>8</v>
      </c>
      <c r="DQ15" s="1554">
        <v>8</v>
      </c>
      <c r="DR15" s="1554">
        <v>8</v>
      </c>
      <c r="DS15" s="1554">
        <v>8</v>
      </c>
      <c r="DT15" s="1554">
        <v>8</v>
      </c>
      <c r="DU15" s="1554">
        <v>8</v>
      </c>
      <c r="DV15" s="1554">
        <v>8</v>
      </c>
      <c r="DW15" s="1554">
        <v>8</v>
      </c>
      <c r="DX15" s="1554">
        <v>8</v>
      </c>
      <c r="DY15" s="1554">
        <v>8</v>
      </c>
      <c r="DZ15" s="1554">
        <v>8</v>
      </c>
      <c r="EA15" s="1554">
        <v>8</v>
      </c>
      <c r="EB15" s="1554">
        <v>8</v>
      </c>
      <c r="EC15" s="1554">
        <v>8</v>
      </c>
      <c r="ED15" s="1554">
        <v>8</v>
      </c>
      <c r="EE15" s="1554">
        <v>8</v>
      </c>
      <c r="EF15" s="1554">
        <v>8</v>
      </c>
      <c r="EG15" s="1554">
        <v>8</v>
      </c>
      <c r="EH15" s="1554">
        <v>8</v>
      </c>
      <c r="EI15" s="1554">
        <v>8</v>
      </c>
      <c r="EJ15" s="1554">
        <v>8</v>
      </c>
      <c r="EK15" s="1554">
        <v>8</v>
      </c>
      <c r="EL15" s="1554">
        <v>8</v>
      </c>
      <c r="EM15" s="1554">
        <v>8</v>
      </c>
      <c r="EN15" s="1554">
        <v>8</v>
      </c>
      <c r="EO15" s="1554">
        <v>8</v>
      </c>
      <c r="EP15" s="1554">
        <v>8</v>
      </c>
      <c r="EQ15" s="1554">
        <v>8</v>
      </c>
      <c r="ER15" s="1554">
        <v>8</v>
      </c>
      <c r="ES15" s="1554">
        <v>8</v>
      </c>
      <c r="ET15" s="1554">
        <v>8</v>
      </c>
      <c r="EU15" s="1554">
        <v>8</v>
      </c>
      <c r="EV15" s="1554">
        <v>8</v>
      </c>
      <c r="EW15" s="1554">
        <v>8</v>
      </c>
      <c r="EX15" s="1554">
        <v>8</v>
      </c>
      <c r="EY15" s="1554">
        <v>8</v>
      </c>
      <c r="EZ15" s="1554">
        <v>8</v>
      </c>
      <c r="FA15" s="1554">
        <v>8</v>
      </c>
      <c r="FB15" s="1554">
        <v>8</v>
      </c>
      <c r="FC15" s="1554">
        <v>8</v>
      </c>
      <c r="FD15" s="1554">
        <v>8</v>
      </c>
      <c r="FE15" s="1554">
        <v>8</v>
      </c>
      <c r="FF15" s="1554">
        <v>8</v>
      </c>
      <c r="FG15" s="1554">
        <v>8</v>
      </c>
      <c r="FH15" s="1554">
        <v>8</v>
      </c>
      <c r="FI15" s="1554">
        <v>8</v>
      </c>
      <c r="FJ15" s="1554">
        <v>8</v>
      </c>
      <c r="FK15" s="1554">
        <v>8</v>
      </c>
      <c r="FL15" s="1554">
        <v>8</v>
      </c>
      <c r="FM15" s="1554">
        <v>8</v>
      </c>
      <c r="FN15" s="1554">
        <v>8</v>
      </c>
      <c r="FO15" s="1554">
        <v>8</v>
      </c>
      <c r="FP15" s="1554">
        <v>8</v>
      </c>
      <c r="FQ15" s="1554">
        <v>8</v>
      </c>
      <c r="FR15" s="1554">
        <v>8</v>
      </c>
      <c r="FS15" s="1554">
        <v>8</v>
      </c>
      <c r="FT15" s="1554">
        <v>8</v>
      </c>
      <c r="FU15" s="1554">
        <v>8</v>
      </c>
      <c r="FV15" s="1554">
        <v>8</v>
      </c>
      <c r="FW15" s="1554">
        <v>8</v>
      </c>
      <c r="FX15" s="1554">
        <v>8</v>
      </c>
      <c r="FY15" s="1554">
        <v>8</v>
      </c>
      <c r="FZ15" s="1554">
        <v>8</v>
      </c>
      <c r="GA15" s="1554">
        <v>8</v>
      </c>
      <c r="GB15" s="1554">
        <v>8</v>
      </c>
      <c r="GC15" s="1554">
        <v>8</v>
      </c>
      <c r="GD15" s="1554">
        <v>8</v>
      </c>
      <c r="GE15" s="1554">
        <v>8</v>
      </c>
      <c r="GF15" s="1554">
        <v>8</v>
      </c>
      <c r="GG15" s="1554">
        <v>8</v>
      </c>
      <c r="GH15" s="1554">
        <v>8</v>
      </c>
      <c r="GI15" s="1554">
        <v>8</v>
      </c>
      <c r="GJ15" s="1554">
        <v>8</v>
      </c>
      <c r="GK15" s="1554">
        <v>8</v>
      </c>
      <c r="GL15" s="1554">
        <v>8</v>
      </c>
      <c r="GM15" s="1554">
        <v>8</v>
      </c>
      <c r="GN15" s="1554">
        <v>8</v>
      </c>
      <c r="GO15" s="1554">
        <v>8</v>
      </c>
      <c r="GP15" s="1554">
        <v>8</v>
      </c>
      <c r="GQ15" s="1554">
        <v>8</v>
      </c>
      <c r="GR15" s="1554">
        <v>8</v>
      </c>
      <c r="GS15" s="1554">
        <v>8</v>
      </c>
      <c r="GT15" s="1554">
        <v>8</v>
      </c>
      <c r="GU15" s="1554">
        <v>8</v>
      </c>
      <c r="GV15" s="1554">
        <v>8</v>
      </c>
      <c r="GW15" s="1554">
        <v>8</v>
      </c>
      <c r="GX15" s="1554">
        <v>8</v>
      </c>
      <c r="GY15" s="1554">
        <v>8</v>
      </c>
      <c r="GZ15" s="1554">
        <v>8</v>
      </c>
      <c r="HA15" s="1554">
        <v>8</v>
      </c>
      <c r="HB15" s="1554">
        <v>8</v>
      </c>
      <c r="HC15" s="1554">
        <v>8</v>
      </c>
      <c r="HD15" s="1554">
        <v>8</v>
      </c>
      <c r="HE15" s="1554">
        <v>8</v>
      </c>
      <c r="HF15" s="1554">
        <v>8</v>
      </c>
      <c r="HG15" s="1554">
        <v>8</v>
      </c>
      <c r="HH15" s="1554">
        <v>8</v>
      </c>
      <c r="HI15" s="1554">
        <v>8</v>
      </c>
      <c r="HJ15" s="1554">
        <v>8</v>
      </c>
      <c r="HK15" s="1554">
        <v>8</v>
      </c>
      <c r="HL15" s="1554">
        <v>8</v>
      </c>
      <c r="HM15" s="1554">
        <v>8</v>
      </c>
      <c r="HN15" s="1554">
        <v>8</v>
      </c>
      <c r="HO15" s="1554">
        <v>8</v>
      </c>
      <c r="HP15" s="1554">
        <v>8</v>
      </c>
      <c r="HQ15" s="1554">
        <v>8</v>
      </c>
      <c r="HR15" s="1554">
        <v>8</v>
      </c>
      <c r="HS15" s="1554">
        <v>8</v>
      </c>
      <c r="HT15" s="1554">
        <v>8</v>
      </c>
      <c r="HU15" s="1554">
        <v>8</v>
      </c>
      <c r="HV15" s="1554">
        <v>8</v>
      </c>
      <c r="HW15" s="1554">
        <v>8</v>
      </c>
      <c r="HX15" s="1554">
        <v>8</v>
      </c>
      <c r="HY15" s="1554">
        <v>8</v>
      </c>
      <c r="HZ15" s="1554">
        <v>8</v>
      </c>
      <c r="IA15" s="1554">
        <v>8</v>
      </c>
      <c r="IB15" s="1554">
        <v>8</v>
      </c>
      <c r="IC15" s="1554">
        <v>8</v>
      </c>
      <c r="ID15" s="1554">
        <v>8</v>
      </c>
      <c r="IE15" s="1554">
        <v>8</v>
      </c>
      <c r="IF15" s="1554">
        <v>8</v>
      </c>
      <c r="IG15" s="1554">
        <v>8</v>
      </c>
      <c r="IH15" s="1554">
        <v>8</v>
      </c>
      <c r="II15" s="1554">
        <v>8</v>
      </c>
      <c r="IJ15" s="1554">
        <v>8</v>
      </c>
      <c r="IK15" s="1554">
        <v>8</v>
      </c>
      <c r="IL15" s="1554">
        <v>8</v>
      </c>
      <c r="IM15" s="1554">
        <v>8</v>
      </c>
      <c r="IN15" s="1554">
        <v>8</v>
      </c>
      <c r="IO15" s="1554">
        <v>8</v>
      </c>
      <c r="IP15" s="1554">
        <v>8</v>
      </c>
      <c r="IQ15" s="1554">
        <v>8</v>
      </c>
      <c r="IR15" s="1554">
        <v>8</v>
      </c>
      <c r="IS15" s="1554">
        <v>8</v>
      </c>
      <c r="IT15" s="1554">
        <v>8</v>
      </c>
      <c r="IU15" s="1554">
        <v>8</v>
      </c>
      <c r="IV15" s="1554">
        <v>8</v>
      </c>
      <c r="IW15" s="1554">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58" hidden="1"/>
    <col min="2" max="2" width="9.140625" style="1289" hidden="1"/>
    <col min="3" max="3" width="3.7109375" style="1558" hidden="1" customWidth="1"/>
    <col min="4" max="4" width="3" style="1759" customWidth="1"/>
    <col min="5" max="5" width="6" style="1558" customWidth="1"/>
    <col min="6" max="6" width="27" style="1558" customWidth="1"/>
    <col min="7" max="7" width="29" style="1558" customWidth="1"/>
    <col min="8" max="8" width="25" style="1558" customWidth="1"/>
    <col min="9" max="9" width="5" style="1558" customWidth="1"/>
    <col min="10" max="10" width="6" style="1558" customWidth="1"/>
    <col min="11" max="11" width="41" style="1558" customWidth="1"/>
    <col min="12" max="12" width="42" style="1558" customWidth="1"/>
    <col min="13" max="13" width="41" style="1558" customWidth="1"/>
    <col min="14" max="14" width="89" style="1558" customWidth="1"/>
    <col min="15" max="15" width="3" style="1547" customWidth="1"/>
    <col min="16" max="16" width="8" style="1547" customWidth="1"/>
    <col min="17" max="17" width="9.140625" style="1558" hidden="1"/>
  </cols>
  <sheetData>
    <row r="1" spans="1:17" ht="22.5" hidden="1" customHeight="1">
      <c r="Q1" s="1078" t="s">
        <v>14</v>
      </c>
    </row>
    <row r="2" spans="1:17" s="1767" customFormat="1" ht="22.5" hidden="1" customHeight="1">
      <c r="A2" s="432"/>
      <c r="B2" s="1083">
        <v>1</v>
      </c>
      <c r="C2" s="1083"/>
      <c r="D2" s="1842" t="s">
        <v>104</v>
      </c>
      <c r="E2" s="2371">
        <v>1</v>
      </c>
      <c r="F2" s="2541" t="str">
        <f>IF(region_name="","",region_name)</f>
        <v>Архангельская область</v>
      </c>
      <c r="G2" s="2743"/>
      <c r="H2" s="2744"/>
      <c r="I2" s="410"/>
      <c r="J2" s="1827">
        <v>1</v>
      </c>
      <c r="K2" s="1829"/>
      <c r="L2" s="1829"/>
      <c r="M2" s="1829"/>
      <c r="N2" s="428"/>
      <c r="O2" s="1458"/>
      <c r="P2" s="447"/>
      <c r="Q2" s="359">
        <v>0</v>
      </c>
    </row>
    <row r="3" spans="1:17" s="1767" customFormat="1" ht="22.5" hidden="1" customHeight="1">
      <c r="A3" s="760"/>
      <c r="B3" s="1083"/>
      <c r="C3" s="1083"/>
      <c r="D3" s="730"/>
      <c r="E3" s="2371"/>
      <c r="F3" s="2541"/>
      <c r="G3" s="2743"/>
      <c r="H3" s="2672"/>
      <c r="I3" s="357"/>
      <c r="J3" s="1423"/>
      <c r="K3" s="1423" t="s">
        <v>2062</v>
      </c>
      <c r="L3" s="1466"/>
      <c r="M3" s="1837"/>
      <c r="N3" s="1830"/>
      <c r="O3" s="1458"/>
      <c r="P3" s="447"/>
      <c r="Q3" s="359">
        <v>0</v>
      </c>
    </row>
    <row r="4" spans="1:17" s="1565" customFormat="1" ht="5.25" hidden="1" customHeight="1">
      <c r="A4" s="432"/>
      <c r="D4" s="430"/>
      <c r="F4" s="184" t="s">
        <v>84</v>
      </c>
      <c r="G4" s="430" t="s">
        <v>85</v>
      </c>
      <c r="H4" s="430"/>
      <c r="I4" s="1840"/>
      <c r="J4" s="1467"/>
      <c r="K4" s="1828"/>
      <c r="L4" s="1828"/>
      <c r="M4" s="1828"/>
      <c r="N4" s="1824"/>
      <c r="O4" s="184" t="s">
        <v>84</v>
      </c>
      <c r="P4" s="184"/>
      <c r="Q4" s="447">
        <v>0</v>
      </c>
    </row>
    <row r="5" spans="1:17" s="1767" customFormat="1" ht="22.5" hidden="1" customHeight="1">
      <c r="A5" s="1564"/>
      <c r="B5" s="1289">
        <v>1</v>
      </c>
      <c r="C5" s="1289"/>
      <c r="D5" s="730"/>
      <c r="E5" s="1830"/>
      <c r="F5" s="1830"/>
      <c r="G5" s="1830"/>
      <c r="H5" s="1841"/>
      <c r="I5" s="1843" t="s">
        <v>104</v>
      </c>
      <c r="J5" s="1839">
        <v>1</v>
      </c>
      <c r="K5" s="1829"/>
      <c r="L5" s="1829"/>
      <c r="M5" s="1829"/>
      <c r="N5" s="428"/>
      <c r="O5" s="1458"/>
      <c r="P5" s="1559"/>
      <c r="Q5" s="560">
        <v>0</v>
      </c>
    </row>
    <row r="6" spans="1:17" s="1739" customFormat="1" ht="14.65" customHeight="1">
      <c r="A6" s="1078"/>
      <c r="B6" s="1083"/>
      <c r="C6" s="1078"/>
      <c r="D6" s="1418"/>
      <c r="E6" s="445"/>
      <c r="F6" s="445"/>
      <c r="G6" s="445"/>
      <c r="H6" s="445"/>
      <c r="I6" s="445"/>
      <c r="J6" s="445"/>
      <c r="K6" s="445"/>
      <c r="L6" s="445"/>
      <c r="M6" s="445"/>
      <c r="N6" s="1558"/>
      <c r="O6" s="184"/>
      <c r="P6" s="436"/>
      <c r="Q6" s="443">
        <v>14</v>
      </c>
    </row>
    <row r="7" spans="1:17" s="1739" customFormat="1" ht="27.4" customHeight="1">
      <c r="A7" s="1078"/>
      <c r="B7" s="1083"/>
      <c r="C7" s="1078"/>
      <c r="D7" s="1418"/>
      <c r="E7" s="2749"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749"/>
      <c r="G7" s="2749"/>
      <c r="H7" s="2749"/>
      <c r="I7" s="2749"/>
      <c r="J7" s="2749"/>
      <c r="K7" s="2749"/>
      <c r="L7" s="2749"/>
      <c r="M7" s="2749"/>
      <c r="N7" s="1175"/>
      <c r="O7" s="184"/>
      <c r="P7" s="436"/>
      <c r="Q7" s="443">
        <v>26</v>
      </c>
    </row>
    <row r="8" spans="1:17" s="1739" customFormat="1" ht="14.65" customHeight="1">
      <c r="A8" s="1078"/>
      <c r="B8" s="1083"/>
      <c r="C8" s="1078"/>
      <c r="D8" s="1418"/>
      <c r="E8" s="445"/>
      <c r="F8" s="104"/>
      <c r="G8" s="104"/>
      <c r="H8" s="104"/>
      <c r="I8" s="104"/>
      <c r="J8" s="104"/>
      <c r="K8" s="104"/>
      <c r="L8" s="104"/>
      <c r="M8" s="104"/>
      <c r="N8" s="552"/>
      <c r="O8" s="436"/>
      <c r="P8" s="436"/>
      <c r="Q8" s="443">
        <v>14</v>
      </c>
    </row>
    <row r="9" spans="1:17" s="1469" customFormat="1" ht="14.25" hidden="1" customHeight="1">
      <c r="A9" s="1391"/>
      <c r="B9" s="1401"/>
      <c r="C9" s="1391"/>
      <c r="D9" s="1418"/>
      <c r="E9" s="1831"/>
      <c r="F9" s="1831"/>
      <c r="G9" s="1831"/>
      <c r="H9" s="1831"/>
      <c r="I9" s="2752"/>
      <c r="J9" s="2752"/>
      <c r="K9" s="2752"/>
      <c r="L9" s="1831"/>
      <c r="M9" s="1832"/>
      <c r="O9" s="1468"/>
      <c r="P9" s="1468"/>
      <c r="Q9" s="1469">
        <v>0</v>
      </c>
    </row>
    <row r="10" spans="1:17" s="1739" customFormat="1" ht="14.65" customHeight="1">
      <c r="A10" s="1078"/>
      <c r="B10" s="1083"/>
      <c r="C10" s="1078"/>
      <c r="D10" s="1418"/>
      <c r="E10" s="2371" t="s">
        <v>319</v>
      </c>
      <c r="F10" s="2371"/>
      <c r="G10" s="2371"/>
      <c r="H10" s="2371"/>
      <c r="I10" s="2371"/>
      <c r="J10" s="2371"/>
      <c r="K10" s="2371"/>
      <c r="L10" s="2371"/>
      <c r="M10" s="2350"/>
      <c r="N10" s="2738" t="s">
        <v>320</v>
      </c>
      <c r="O10" s="436"/>
      <c r="P10" s="436"/>
      <c r="Q10" s="443">
        <v>14</v>
      </c>
    </row>
    <row r="11" spans="1:17" s="1739" customFormat="1" ht="44.25" customHeight="1">
      <c r="A11" s="1554"/>
      <c r="B11" s="1289"/>
      <c r="C11" s="1554"/>
      <c r="D11" s="1438"/>
      <c r="E11" s="2751" t="s">
        <v>89</v>
      </c>
      <c r="F11" s="2751" t="s">
        <v>323</v>
      </c>
      <c r="G11" s="2751" t="s">
        <v>2063</v>
      </c>
      <c r="H11" s="2751"/>
      <c r="I11" s="2751" t="s">
        <v>2064</v>
      </c>
      <c r="J11" s="2751"/>
      <c r="K11" s="2751"/>
      <c r="L11" s="2751" t="s">
        <v>2065</v>
      </c>
      <c r="M11" s="2740" t="s">
        <v>2066</v>
      </c>
      <c r="N11" s="2750"/>
      <c r="O11" s="1547"/>
      <c r="P11" s="1547"/>
      <c r="Q11" s="1532">
        <v>42</v>
      </c>
    </row>
    <row r="12" spans="1:17" s="1739" customFormat="1" ht="29.25" customHeight="1">
      <c r="A12" s="1078"/>
      <c r="B12" s="1083"/>
      <c r="C12" s="1078"/>
      <c r="D12" s="1418"/>
      <c r="E12" s="2738"/>
      <c r="F12" s="2751"/>
      <c r="G12" s="1826" t="s">
        <v>2067</v>
      </c>
      <c r="H12" s="1826" t="s">
        <v>327</v>
      </c>
      <c r="I12" s="2751"/>
      <c r="J12" s="2751"/>
      <c r="K12" s="2751"/>
      <c r="L12" s="2751"/>
      <c r="M12" s="2740"/>
      <c r="N12" s="2739"/>
      <c r="O12" s="436"/>
      <c r="P12" s="436"/>
      <c r="Q12" s="443">
        <v>28</v>
      </c>
    </row>
    <row r="13" spans="1:17" s="1767" customFormat="1" ht="23.25" customHeight="1">
      <c r="A13" s="2353">
        <v>26379339</v>
      </c>
      <c r="B13" s="1083">
        <v>1</v>
      </c>
      <c r="C13" s="1083"/>
      <c r="D13" s="730"/>
      <c r="E13" s="2371">
        <v>1</v>
      </c>
      <c r="F13" s="2745" t="str">
        <f>IF(region_name="","",region_name)</f>
        <v>Архангельская область</v>
      </c>
      <c r="G13" s="2746"/>
      <c r="H13" s="2753"/>
      <c r="I13" s="410"/>
      <c r="J13" s="1822">
        <v>1</v>
      </c>
      <c r="K13" s="1835"/>
      <c r="L13" s="1836"/>
      <c r="M13" s="1836"/>
      <c r="N13" s="2747" t="s">
        <v>2068</v>
      </c>
      <c r="O13" s="1458"/>
      <c r="P13" s="447"/>
      <c r="Q13" s="359">
        <v>22</v>
      </c>
    </row>
    <row r="14" spans="1:17" s="1767" customFormat="1" ht="23.25" customHeight="1">
      <c r="A14" s="2353"/>
      <c r="B14" s="1083"/>
      <c r="C14" s="1083"/>
      <c r="D14" s="730"/>
      <c r="E14" s="2371"/>
      <c r="F14" s="2745"/>
      <c r="G14" s="2746"/>
      <c r="H14" s="2754"/>
      <c r="I14" s="357"/>
      <c r="J14" s="1423"/>
      <c r="K14" s="1423" t="s">
        <v>2062</v>
      </c>
      <c r="L14" s="1466"/>
      <c r="M14" s="1466"/>
      <c r="N14" s="2748"/>
      <c r="O14" s="1458"/>
      <c r="P14" s="447"/>
      <c r="Q14" s="359">
        <v>22</v>
      </c>
    </row>
    <row r="15" spans="1:17" s="1767" customFormat="1" ht="23.25" customHeight="1">
      <c r="A15" s="2353"/>
      <c r="B15" s="1083"/>
      <c r="C15" s="348"/>
      <c r="D15" s="730"/>
      <c r="E15" s="357"/>
      <c r="F15" s="1423" t="s">
        <v>2054</v>
      </c>
      <c r="G15" s="1465"/>
      <c r="H15" s="1465"/>
      <c r="I15" s="124"/>
      <c r="J15" s="124"/>
      <c r="K15" s="124"/>
      <c r="L15" s="124"/>
      <c r="M15" s="124"/>
      <c r="N15" s="2748"/>
      <c r="O15" s="1459"/>
      <c r="P15" s="447"/>
      <c r="Q15" s="359">
        <v>22</v>
      </c>
    </row>
    <row r="16" spans="1:17" s="1739" customFormat="1" ht="21.95" customHeight="1">
      <c r="A16" s="1078"/>
      <c r="B16" s="1083"/>
      <c r="C16" s="1078"/>
      <c r="D16" s="387"/>
      <c r="E16" s="117"/>
      <c r="F16" s="117"/>
      <c r="G16" s="117"/>
      <c r="H16" s="117"/>
      <c r="I16" s="117"/>
      <c r="J16" s="117"/>
      <c r="K16" s="117"/>
      <c r="L16" s="117"/>
      <c r="M16" s="445"/>
      <c r="N16" s="1558"/>
      <c r="O16" s="436"/>
      <c r="P16" s="436"/>
      <c r="Q16" s="443">
        <v>21</v>
      </c>
    </row>
    <row r="17" spans="1:17" s="1739" customFormat="1" ht="14.65" customHeight="1">
      <c r="A17" s="1078"/>
      <c r="B17" s="1083"/>
      <c r="C17" s="1078"/>
      <c r="D17" s="387"/>
      <c r="E17" s="1078"/>
      <c r="F17" s="1078"/>
      <c r="G17" s="1078"/>
      <c r="H17" s="1078"/>
      <c r="I17" s="1078"/>
      <c r="J17" s="1078"/>
      <c r="K17" s="1078"/>
      <c r="L17" s="1078"/>
      <c r="M17" s="1078"/>
      <c r="N17" s="1554"/>
      <c r="O17" s="436"/>
      <c r="P17" s="436"/>
      <c r="Q17" s="443">
        <v>14</v>
      </c>
    </row>
    <row r="18" spans="1:17" s="1739" customFormat="1" ht="1.1499999999999999" customHeight="1">
      <c r="A18" s="1078"/>
      <c r="B18" s="1083"/>
      <c r="C18" s="1078"/>
      <c r="D18" s="387"/>
      <c r="E18" s="1078"/>
      <c r="F18" s="1078"/>
      <c r="G18" s="1078"/>
      <c r="H18" s="1078"/>
      <c r="I18" s="1078"/>
      <c r="J18" s="1078"/>
      <c r="K18" s="1078"/>
      <c r="L18" s="1078"/>
      <c r="M18" s="1078"/>
      <c r="N18" s="1554"/>
      <c r="O18" s="436"/>
      <c r="P18" s="436"/>
      <c r="Q18" s="443">
        <v>1</v>
      </c>
    </row>
    <row r="19" spans="1:17" ht="22.5" hidden="1" customHeight="1">
      <c r="A19" s="1078" t="s">
        <v>83</v>
      </c>
      <c r="B19" s="1083">
        <v>0</v>
      </c>
      <c r="C19" s="1078">
        <v>0</v>
      </c>
      <c r="D19" s="387">
        <v>3</v>
      </c>
      <c r="E19" s="1078">
        <v>6</v>
      </c>
      <c r="F19" s="1078">
        <v>27</v>
      </c>
      <c r="G19" s="1078">
        <v>29</v>
      </c>
      <c r="H19" s="1078">
        <v>25</v>
      </c>
      <c r="I19" s="1078">
        <v>5</v>
      </c>
      <c r="J19" s="1078">
        <v>6</v>
      </c>
      <c r="K19" s="1078">
        <v>41</v>
      </c>
      <c r="L19" s="1078">
        <v>42</v>
      </c>
      <c r="M19" s="1078">
        <v>41</v>
      </c>
      <c r="N19" s="1554">
        <v>89</v>
      </c>
      <c r="O19" s="436">
        <v>3</v>
      </c>
      <c r="P19" s="436">
        <v>8</v>
      </c>
      <c r="Q19" s="1078">
        <v>23</v>
      </c>
    </row>
  </sheetData>
  <sheetProtection formatColumns="0" formatRows="0" insertRows="0" deleteColumns="0" deleteRows="0" sort="0" autoFilter="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4" hidden="1"/>
    <col min="2" max="2" width="9.140625" style="1742" hidden="1"/>
    <col min="3" max="3" width="3" style="59" customWidth="1"/>
    <col min="4" max="4" width="6" style="1742" customWidth="1"/>
    <col min="5" max="5" width="22" style="1742" customWidth="1"/>
    <col min="6" max="6" width="15" style="1742" customWidth="1"/>
    <col min="7" max="7" width="14" style="1742" customWidth="1"/>
    <col min="8" max="8" width="47" style="1742" customWidth="1"/>
    <col min="9" max="9" width="115" style="1742" customWidth="1"/>
    <col min="10" max="10" width="3" style="1742" customWidth="1"/>
    <col min="11" max="12" width="8" style="1742" customWidth="1"/>
    <col min="13" max="13" width="9.140625" style="1742"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58" customFormat="1" ht="31.5" customHeight="1">
      <c r="A5" s="54"/>
      <c r="C5" s="29"/>
      <c r="D5" s="2355" t="s">
        <v>2069</v>
      </c>
      <c r="E5" s="2355"/>
      <c r="F5" s="2355"/>
      <c r="G5" s="2355"/>
      <c r="H5" s="2355"/>
      <c r="I5" s="202"/>
      <c r="M5" s="22">
        <v>30</v>
      </c>
    </row>
    <row r="6" spans="1:13" ht="3" hidden="1" customHeight="1">
      <c r="D6" s="61"/>
      <c r="E6" s="61"/>
      <c r="F6" s="61"/>
      <c r="G6" s="61"/>
      <c r="H6" s="61"/>
      <c r="I6" s="61"/>
      <c r="M6" s="60">
        <v>0</v>
      </c>
    </row>
    <row r="7" spans="1:13" s="294" customFormat="1" ht="14.65" customHeight="1">
      <c r="B7" s="58"/>
      <c r="C7" s="59"/>
      <c r="D7" s="62"/>
      <c r="E7" s="62"/>
      <c r="F7" s="62"/>
      <c r="G7" s="62"/>
      <c r="H7" s="687"/>
      <c r="I7" s="62"/>
      <c r="J7" s="63"/>
      <c r="M7" s="57">
        <v>14</v>
      </c>
    </row>
    <row r="8" spans="1:13" ht="14.65" customHeight="1">
      <c r="D8" s="2466" t="s">
        <v>319</v>
      </c>
      <c r="E8" s="2466"/>
      <c r="F8" s="2466"/>
      <c r="G8" s="2466"/>
      <c r="H8" s="2466"/>
      <c r="I8" s="2466" t="s">
        <v>320</v>
      </c>
      <c r="M8" s="60">
        <v>14</v>
      </c>
    </row>
    <row r="9" spans="1:13" ht="29.25" customHeight="1">
      <c r="D9" s="2466" t="s">
        <v>89</v>
      </c>
      <c r="E9" s="2466" t="s">
        <v>2070</v>
      </c>
      <c r="F9" s="2466"/>
      <c r="G9" s="2466"/>
      <c r="H9" s="2466"/>
      <c r="I9" s="2466"/>
      <c r="M9" s="60">
        <v>28</v>
      </c>
    </row>
    <row r="10" spans="1:13" ht="24" customHeight="1">
      <c r="D10" s="2466"/>
      <c r="E10" s="66" t="s">
        <v>2071</v>
      </c>
      <c r="F10" s="66" t="s">
        <v>2072</v>
      </c>
      <c r="G10" s="66" t="s">
        <v>2073</v>
      </c>
      <c r="H10" s="66" t="s">
        <v>409</v>
      </c>
      <c r="I10" s="2466"/>
      <c r="M10" s="60">
        <v>23</v>
      </c>
    </row>
    <row r="11" spans="1:13" ht="12" hidden="1" customHeight="1">
      <c r="D11" s="26" t="s">
        <v>100</v>
      </c>
      <c r="E11" s="26" t="s">
        <v>92</v>
      </c>
      <c r="F11" s="26" t="s">
        <v>123</v>
      </c>
      <c r="G11" s="26" t="s">
        <v>93</v>
      </c>
      <c r="H11" s="26" t="s">
        <v>94</v>
      </c>
      <c r="I11" s="26" t="s">
        <v>124</v>
      </c>
      <c r="M11" s="60">
        <v>0</v>
      </c>
    </row>
    <row r="12" spans="1:13" s="1742" customFormat="1" ht="26.25" customHeight="1">
      <c r="A12" s="82" t="s">
        <v>91</v>
      </c>
      <c r="B12" s="64" t="s">
        <v>22</v>
      </c>
      <c r="C12" s="65"/>
      <c r="D12" s="67" t="s">
        <v>100</v>
      </c>
      <c r="E12" s="317"/>
      <c r="F12" s="317"/>
      <c r="G12" s="1655" t="s">
        <v>22</v>
      </c>
      <c r="H12" s="318"/>
      <c r="I12" s="2429" t="s">
        <v>2074</v>
      </c>
      <c r="K12" s="209"/>
      <c r="L12" s="210"/>
      <c r="M12" s="56">
        <v>25</v>
      </c>
    </row>
    <row r="13" spans="1:13" ht="15.75" customHeight="1">
      <c r="A13" s="60"/>
      <c r="B13" s="60"/>
      <c r="C13" s="60"/>
      <c r="D13" s="48"/>
      <c r="E13" s="69" t="s">
        <v>483</v>
      </c>
      <c r="F13" s="68"/>
      <c r="G13" s="68"/>
      <c r="H13" s="151"/>
      <c r="I13" s="2431"/>
      <c r="M13" s="60">
        <v>15</v>
      </c>
    </row>
    <row r="14" spans="1:13" ht="3" customHeight="1">
      <c r="A14" s="60"/>
      <c r="B14" s="60"/>
      <c r="C14" s="60"/>
      <c r="M14" s="60">
        <v>3</v>
      </c>
    </row>
    <row r="15" spans="1:13" ht="29.25" customHeight="1">
      <c r="E15" s="2755" t="s">
        <v>2075</v>
      </c>
      <c r="F15" s="2755"/>
      <c r="G15" s="2755"/>
      <c r="H15" s="2755"/>
      <c r="M15" s="60">
        <v>28</v>
      </c>
    </row>
    <row r="16" spans="1:13" ht="14.25" hidden="1" customHeight="1">
      <c r="A16" s="57" t="s">
        <v>83</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2" width="9.140625" style="201" hidden="1"/>
    <col min="3" max="3" width="3" style="30" customWidth="1"/>
    <col min="4" max="4" width="6" style="201" customWidth="1"/>
    <col min="5" max="5" width="94" style="201" customWidth="1"/>
    <col min="6" max="9" width="8" style="201" customWidth="1"/>
    <col min="10" max="10" width="9.140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756" t="s">
        <v>2076</v>
      </c>
      <c r="E7" s="2757"/>
      <c r="F7" s="204"/>
      <c r="J7" s="8">
        <v>22</v>
      </c>
    </row>
    <row r="8" spans="1:10" ht="3" customHeight="1">
      <c r="C8" s="31"/>
      <c r="D8" s="9"/>
      <c r="E8" s="9"/>
      <c r="J8" s="8">
        <v>3</v>
      </c>
    </row>
    <row r="9" spans="1:10" ht="16.899999999999999" customHeight="1">
      <c r="C9" s="31"/>
      <c r="D9" s="44" t="s">
        <v>89</v>
      </c>
      <c r="E9" s="197" t="s">
        <v>2077</v>
      </c>
      <c r="J9" s="8">
        <v>16</v>
      </c>
    </row>
    <row r="10" spans="1:10" ht="1.1499999999999999" customHeight="1">
      <c r="C10" s="31"/>
      <c r="D10" s="26"/>
      <c r="E10" s="26"/>
      <c r="J10" s="8">
        <v>1</v>
      </c>
    </row>
    <row r="11" spans="1:10" ht="11.25" hidden="1" customHeight="1">
      <c r="C11" s="31"/>
      <c r="D11" s="87">
        <v>0</v>
      </c>
      <c r="E11" s="198"/>
      <c r="J11" s="8">
        <v>0</v>
      </c>
    </row>
    <row r="12" spans="1:10" ht="15.75" customHeight="1">
      <c r="C12" s="74"/>
      <c r="D12" s="52">
        <v>1</v>
      </c>
      <c r="E12" s="313"/>
      <c r="J12" s="8">
        <v>15</v>
      </c>
    </row>
    <row r="13" spans="1:10" ht="12.75" customHeight="1">
      <c r="C13" s="31"/>
      <c r="D13" s="199"/>
      <c r="E13" s="200" t="s">
        <v>2078</v>
      </c>
      <c r="J13" s="8">
        <v>12</v>
      </c>
    </row>
    <row r="14" spans="1:10" ht="3" customHeight="1">
      <c r="J14" s="8">
        <v>3</v>
      </c>
    </row>
    <row r="15" spans="1:10" ht="23.25" customHeight="1">
      <c r="C15" s="75"/>
      <c r="D15" s="2755" t="s">
        <v>2079</v>
      </c>
      <c r="E15" s="2755"/>
      <c r="F15" s="76"/>
      <c r="G15" s="76"/>
      <c r="H15" s="76"/>
      <c r="I15" s="76"/>
      <c r="J15" s="8">
        <v>22</v>
      </c>
    </row>
    <row r="16" spans="1:10" ht="14.25" hidden="1" customHeight="1">
      <c r="A16" s="8" t="s">
        <v>83</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1" hidden="1"/>
    <col min="3" max="3" width="3" style="30" customWidth="1"/>
    <col min="4" max="4" width="6" style="201" customWidth="1"/>
    <col min="5" max="5" width="94" style="201" customWidth="1"/>
    <col min="6" max="12" width="8" style="201" customWidth="1"/>
    <col min="13" max="13" width="9.1406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355" t="s">
        <v>2080</v>
      </c>
      <c r="E7" s="2355"/>
      <c r="F7" s="204"/>
      <c r="M7" s="8">
        <v>22</v>
      </c>
    </row>
    <row r="8" spans="1:13" ht="3" customHeight="1">
      <c r="C8" s="31"/>
      <c r="D8" s="9"/>
      <c r="E8" s="9"/>
      <c r="M8" s="8">
        <v>3</v>
      </c>
    </row>
    <row r="9" spans="1:13" ht="16.899999999999999" customHeight="1">
      <c r="C9" s="31"/>
      <c r="D9" s="44" t="s">
        <v>89</v>
      </c>
      <c r="E9" s="47" t="s">
        <v>306</v>
      </c>
      <c r="M9" s="8">
        <v>16</v>
      </c>
    </row>
    <row r="10" spans="1:13" ht="12.75" customHeight="1">
      <c r="C10" s="31"/>
      <c r="D10" s="26" t="s">
        <v>100</v>
      </c>
      <c r="E10" s="26" t="s">
        <v>103</v>
      </c>
      <c r="M10" s="8">
        <v>12</v>
      </c>
    </row>
    <row r="11" spans="1:13" ht="15" hidden="1" customHeight="1">
      <c r="C11" s="31"/>
      <c r="D11" s="52">
        <v>0</v>
      </c>
      <c r="E11" s="86"/>
      <c r="M11" s="8">
        <v>0</v>
      </c>
    </row>
    <row r="12" spans="1:13" ht="14.65" customHeight="1">
      <c r="C12" s="31"/>
      <c r="D12" s="48"/>
      <c r="E12" s="46" t="s">
        <v>2078</v>
      </c>
      <c r="M12" s="8">
        <v>14</v>
      </c>
    </row>
    <row r="13" spans="1:13" ht="14.25" hidden="1" customHeight="1">
      <c r="A13" s="8" t="s">
        <v>83</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67" hidden="1"/>
    <col min="3" max="4" width="3" style="1767" customWidth="1"/>
    <col min="5" max="6" width="15" style="1767" customWidth="1"/>
    <col min="7" max="7" width="11.5703125" style="1767" customWidth="1"/>
    <col min="8" max="9" width="3" style="1767" customWidth="1"/>
    <col min="10" max="10" width="12" style="1767" customWidth="1"/>
    <col min="11" max="11" width="0.28515625" style="1767" customWidth="1"/>
    <col min="12" max="13" width="10" style="1767" customWidth="1"/>
    <col min="14" max="15" width="3" style="1767" customWidth="1"/>
    <col min="16" max="16" width="19" style="1767" customWidth="1"/>
    <col min="17" max="17" width="0.28515625" style="1767" customWidth="1"/>
    <col min="18" max="19" width="10" style="1767" customWidth="1"/>
    <col min="20" max="21" width="3" style="1767" customWidth="1"/>
    <col min="22" max="22" width="25" style="1767" customWidth="1"/>
    <col min="23" max="23" width="0.28515625" style="1767" customWidth="1"/>
    <col min="24" max="25" width="10" style="1767" customWidth="1"/>
    <col min="26" max="27" width="3" style="1767" customWidth="1"/>
    <col min="28" max="28" width="16" style="1767" customWidth="1"/>
    <col min="29" max="29" width="0.28515625" style="1767" customWidth="1"/>
    <col min="30" max="31" width="10" style="1767" customWidth="1"/>
    <col min="32" max="33" width="3" style="1767" customWidth="1"/>
    <col min="34" max="34" width="8" style="1767" customWidth="1"/>
    <col min="35" max="35" width="21" style="1767" customWidth="1"/>
    <col min="36" max="36" width="8" style="1767" customWidth="1"/>
    <col min="37" max="37" width="8" style="294" customWidth="1"/>
    <col min="38" max="64" width="8" style="1767" customWidth="1"/>
    <col min="65" max="65" width="9.140625" style="1767" hidden="1"/>
  </cols>
  <sheetData>
    <row r="1" spans="1:65" s="1239"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6" customFormat="1" ht="11.25" hidden="1" customHeight="1">
      <c r="L2" s="1476" t="s">
        <v>298</v>
      </c>
      <c r="M2" s="1476" t="s">
        <v>299</v>
      </c>
      <c r="R2" s="1476" t="s">
        <v>300</v>
      </c>
      <c r="S2" s="1476" t="s">
        <v>299</v>
      </c>
      <c r="X2" s="1476" t="s">
        <v>298</v>
      </c>
      <c r="Y2" s="1476" t="s">
        <v>299</v>
      </c>
      <c r="AD2" s="1476" t="s">
        <v>298</v>
      </c>
      <c r="AE2" s="1476" t="s">
        <v>299</v>
      </c>
      <c r="AJ2" s="1498"/>
      <c r="AK2" s="1498"/>
      <c r="AL2" s="1498"/>
      <c r="AM2" s="1498"/>
      <c r="AN2" s="1498"/>
      <c r="AO2" s="1498"/>
      <c r="AP2" s="1498"/>
      <c r="AQ2" s="1498"/>
      <c r="AR2" s="1498"/>
      <c r="AS2" s="1498"/>
      <c r="AT2" s="1498"/>
      <c r="AU2" s="1498"/>
      <c r="AV2" s="1498"/>
      <c r="AW2" s="1498"/>
      <c r="AX2" s="1498"/>
      <c r="AY2" s="1498"/>
      <c r="AZ2" s="1498"/>
      <c r="BA2" s="1498"/>
      <c r="BB2" s="1498"/>
      <c r="BC2" s="1498"/>
      <c r="BD2" s="1498"/>
      <c r="BE2" s="1498"/>
      <c r="BF2" s="1498"/>
      <c r="BG2" s="1498"/>
      <c r="BH2" s="1498"/>
      <c r="BI2" s="1498"/>
      <c r="BJ2" s="1498"/>
      <c r="BK2" s="1498"/>
      <c r="BL2" s="1498"/>
      <c r="BM2" s="1476">
        <v>0</v>
      </c>
    </row>
    <row r="3" spans="1:65" s="1477" customFormat="1" ht="11.45" customHeight="1">
      <c r="AJ3" s="1497"/>
      <c r="AK3" s="243"/>
      <c r="AL3" s="1497"/>
      <c r="AM3" s="1497"/>
      <c r="AN3" s="1497"/>
      <c r="AO3" s="1497"/>
      <c r="AP3" s="1497"/>
      <c r="AQ3" s="1497"/>
      <c r="AR3" s="1497"/>
      <c r="AS3" s="1497"/>
      <c r="AT3" s="1497"/>
      <c r="AU3" s="1497"/>
      <c r="AV3" s="1497"/>
      <c r="AW3" s="1497"/>
      <c r="AX3" s="1497"/>
      <c r="AY3" s="1497"/>
      <c r="AZ3" s="1497"/>
      <c r="BA3" s="1497"/>
      <c r="BB3" s="1497"/>
      <c r="BC3" s="1497"/>
      <c r="BD3" s="1497"/>
      <c r="BE3" s="1497"/>
      <c r="BF3" s="1497"/>
      <c r="BG3" s="1497"/>
      <c r="BH3" s="1497"/>
      <c r="BI3" s="1497"/>
      <c r="BJ3" s="1497"/>
      <c r="BK3" s="1497"/>
      <c r="BL3" s="1497"/>
      <c r="BM3" s="1477">
        <v>11</v>
      </c>
    </row>
    <row r="4" spans="1:65" s="1739" customFormat="1" ht="34.5" customHeight="1">
      <c r="A4" s="1079"/>
      <c r="B4" s="1078"/>
      <c r="C4" s="1438"/>
      <c r="D4" s="2451" t="s">
        <v>301</v>
      </c>
      <c r="E4" s="2451"/>
      <c r="F4" s="2451"/>
      <c r="G4" s="2451"/>
      <c r="H4" s="2451"/>
      <c r="I4" s="2451"/>
      <c r="J4" s="2451"/>
      <c r="K4" s="635"/>
      <c r="T4" s="1478"/>
      <c r="AJ4" s="1499"/>
      <c r="AK4" s="1500"/>
      <c r="AL4" s="1499"/>
      <c r="AM4" s="1499"/>
      <c r="AN4" s="1499"/>
      <c r="AO4" s="1499"/>
      <c r="AP4" s="1499"/>
      <c r="AQ4" s="1499"/>
      <c r="AR4" s="1499"/>
      <c r="AS4" s="1499"/>
      <c r="AT4" s="1499"/>
      <c r="AU4" s="1499"/>
      <c r="AV4" s="1499"/>
      <c r="AW4" s="1499"/>
      <c r="AX4" s="1499"/>
      <c r="AY4" s="1499"/>
      <c r="AZ4" s="1499"/>
      <c r="BA4" s="1499"/>
      <c r="BB4" s="1499"/>
      <c r="BC4" s="1499"/>
      <c r="BD4" s="1499"/>
      <c r="BE4" s="1499"/>
      <c r="BF4" s="1499"/>
      <c r="BG4" s="1499"/>
      <c r="BH4" s="1499"/>
      <c r="BI4" s="1499"/>
      <c r="BJ4" s="1499"/>
      <c r="BK4" s="1499"/>
      <c r="BL4" s="1499"/>
      <c r="BM4" s="443">
        <v>33</v>
      </c>
    </row>
    <row r="5" spans="1:65" s="1739" customFormat="1" ht="14.65" customHeight="1">
      <c r="A5" s="1555"/>
      <c r="B5" s="1554"/>
      <c r="C5" s="1438"/>
      <c r="D5" s="2436" t="str">
        <f>IF(org=0,"Не определено",org)</f>
        <v>ПАО "ТГК-2"</v>
      </c>
      <c r="E5" s="2436"/>
      <c r="F5" s="2436"/>
      <c r="G5" s="2436"/>
      <c r="H5" s="2436"/>
      <c r="I5" s="2436"/>
      <c r="J5" s="2436"/>
      <c r="K5" s="635"/>
      <c r="T5" s="1478"/>
      <c r="AJ5" s="1499"/>
      <c r="AK5" s="1500"/>
      <c r="AL5" s="1499"/>
      <c r="AM5" s="1499"/>
      <c r="AN5" s="1499"/>
      <c r="AO5" s="1499"/>
      <c r="AP5" s="1499"/>
      <c r="AQ5" s="1499"/>
      <c r="AR5" s="1499"/>
      <c r="AS5" s="1499"/>
      <c r="AT5" s="1499"/>
      <c r="AU5" s="1499"/>
      <c r="AV5" s="1499"/>
      <c r="AW5" s="1499"/>
      <c r="AX5" s="1499"/>
      <c r="AY5" s="1499"/>
      <c r="AZ5" s="1499"/>
      <c r="BA5" s="1499"/>
      <c r="BB5" s="1499"/>
      <c r="BC5" s="1499"/>
      <c r="BD5" s="1499"/>
      <c r="BE5" s="1499"/>
      <c r="BF5" s="1499"/>
      <c r="BG5" s="1499"/>
      <c r="BH5" s="1499"/>
      <c r="BI5" s="1499"/>
      <c r="BJ5" s="1499"/>
      <c r="BK5" s="1499"/>
      <c r="BL5" s="1499"/>
      <c r="BM5" s="1532">
        <v>14</v>
      </c>
    </row>
    <row r="6" spans="1:65" s="1739" customFormat="1" ht="14.65" customHeight="1">
      <c r="A6" s="1079"/>
      <c r="B6" s="1078"/>
      <c r="C6" s="1438"/>
      <c r="D6" s="635"/>
      <c r="E6" s="635"/>
      <c r="F6" s="635"/>
      <c r="G6" s="635"/>
      <c r="H6" s="635"/>
      <c r="I6" s="635"/>
      <c r="J6" s="635"/>
      <c r="K6" s="635"/>
      <c r="T6" s="1478"/>
      <c r="AJ6" s="1499"/>
      <c r="AK6" s="1500"/>
      <c r="AL6" s="1499"/>
      <c r="AM6" s="1499"/>
      <c r="AN6" s="1499"/>
      <c r="AO6" s="1499"/>
      <c r="AP6" s="1499"/>
      <c r="AQ6" s="1499"/>
      <c r="AR6" s="1499"/>
      <c r="AS6" s="1499"/>
      <c r="AT6" s="1499"/>
      <c r="AU6" s="1499"/>
      <c r="AV6" s="1499"/>
      <c r="AW6" s="1499"/>
      <c r="AX6" s="1499"/>
      <c r="AY6" s="1499"/>
      <c r="AZ6" s="1499"/>
      <c r="BA6" s="1499"/>
      <c r="BB6" s="1499"/>
      <c r="BC6" s="1499"/>
      <c r="BD6" s="1499"/>
      <c r="BE6" s="1499"/>
      <c r="BF6" s="1499"/>
      <c r="BG6" s="1499"/>
      <c r="BH6" s="1499"/>
      <c r="BI6" s="1499"/>
      <c r="BJ6" s="1499"/>
      <c r="BK6" s="1499"/>
      <c r="BL6" s="1499"/>
      <c r="BM6" s="443">
        <v>14</v>
      </c>
    </row>
    <row r="7" spans="1:65" s="1239" customFormat="1" ht="1.1499999999999999"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371" t="s">
        <v>89</v>
      </c>
      <c r="E8" s="2371" t="s">
        <v>119</v>
      </c>
      <c r="F8" s="2452" t="s">
        <v>143</v>
      </c>
      <c r="G8" s="2453"/>
      <c r="H8" s="2452" t="s">
        <v>89</v>
      </c>
      <c r="I8" s="2453"/>
      <c r="J8" s="2371" t="s">
        <v>144</v>
      </c>
      <c r="K8" s="1479"/>
      <c r="L8" s="2435" t="s">
        <v>302</v>
      </c>
      <c r="M8" s="2435"/>
      <c r="N8" s="2435"/>
      <c r="O8" s="2435"/>
      <c r="P8" s="2435"/>
      <c r="Q8" s="1480"/>
      <c r="R8" s="2350" t="s">
        <v>303</v>
      </c>
      <c r="S8" s="2356"/>
      <c r="T8" s="2356"/>
      <c r="U8" s="2356"/>
      <c r="V8" s="2356"/>
      <c r="W8" s="1480"/>
      <c r="X8" s="2371" t="s">
        <v>304</v>
      </c>
      <c r="Y8" s="2371"/>
      <c r="Z8" s="2371"/>
      <c r="AA8" s="2371"/>
      <c r="AB8" s="2371"/>
      <c r="AC8" s="1481"/>
      <c r="AD8" s="2371" t="s">
        <v>305</v>
      </c>
      <c r="AE8" s="2371"/>
      <c r="AF8" s="2371"/>
      <c r="AG8" s="2371"/>
      <c r="AH8" s="2350"/>
      <c r="AI8" s="2371" t="s">
        <v>306</v>
      </c>
      <c r="AJ8" s="1497"/>
      <c r="BM8" s="230">
        <v>32</v>
      </c>
    </row>
    <row r="9" spans="1:65" ht="23.25" customHeight="1">
      <c r="D9" s="2371"/>
      <c r="E9" s="2371"/>
      <c r="F9" s="2435" t="s">
        <v>90</v>
      </c>
      <c r="G9" s="2435" t="s">
        <v>149</v>
      </c>
      <c r="H9" s="2454"/>
      <c r="I9" s="2455"/>
      <c r="J9" s="2350"/>
      <c r="K9" s="1482"/>
      <c r="L9" s="2371" t="s">
        <v>307</v>
      </c>
      <c r="M9" s="2350"/>
      <c r="N9" s="2452" t="s">
        <v>89</v>
      </c>
      <c r="O9" s="2453"/>
      <c r="P9" s="2371" t="s">
        <v>150</v>
      </c>
      <c r="Q9" s="1479"/>
      <c r="R9" s="2371" t="s">
        <v>307</v>
      </c>
      <c r="S9" s="2350"/>
      <c r="T9" s="2452" t="s">
        <v>89</v>
      </c>
      <c r="U9" s="2453"/>
      <c r="V9" s="2371" t="s">
        <v>150</v>
      </c>
      <c r="W9" s="1479"/>
      <c r="X9" s="2371" t="s">
        <v>307</v>
      </c>
      <c r="Y9" s="2350"/>
      <c r="Z9" s="2452" t="s">
        <v>89</v>
      </c>
      <c r="AA9" s="2453"/>
      <c r="AB9" s="2371" t="s">
        <v>308</v>
      </c>
      <c r="AC9" s="1479"/>
      <c r="AD9" s="2371" t="s">
        <v>307</v>
      </c>
      <c r="AE9" s="2350"/>
      <c r="AF9" s="2452" t="s">
        <v>89</v>
      </c>
      <c r="AG9" s="2453"/>
      <c r="AH9" s="2350" t="s">
        <v>308</v>
      </c>
      <c r="AI9" s="2371"/>
      <c r="AJ9" s="1497"/>
      <c r="BM9" s="230">
        <v>22</v>
      </c>
    </row>
    <row r="10" spans="1:65" ht="24" customHeight="1">
      <c r="D10" s="2435"/>
      <c r="E10" s="2435"/>
      <c r="F10" s="2456"/>
      <c r="G10" s="2456"/>
      <c r="H10" s="2457"/>
      <c r="I10" s="2458"/>
      <c r="J10" s="2452"/>
      <c r="K10" s="1482"/>
      <c r="L10" s="1501" t="s">
        <v>309</v>
      </c>
      <c r="M10" s="1496" t="s">
        <v>310</v>
      </c>
      <c r="N10" s="2454"/>
      <c r="O10" s="2455"/>
      <c r="P10" s="2435"/>
      <c r="Q10" s="1479"/>
      <c r="R10" s="1501" t="s">
        <v>309</v>
      </c>
      <c r="S10" s="1496" t="s">
        <v>310</v>
      </c>
      <c r="T10" s="2454"/>
      <c r="U10" s="2455"/>
      <c r="V10" s="2435"/>
      <c r="W10" s="1479"/>
      <c r="X10" s="1501" t="s">
        <v>309</v>
      </c>
      <c r="Y10" s="1496" t="s">
        <v>310</v>
      </c>
      <c r="Z10" s="2454"/>
      <c r="AA10" s="2455"/>
      <c r="AB10" s="2435"/>
      <c r="AC10" s="1479"/>
      <c r="AD10" s="1501" t="s">
        <v>309</v>
      </c>
      <c r="AE10" s="1496" t="s">
        <v>310</v>
      </c>
      <c r="AF10" s="2454"/>
      <c r="AG10" s="2455"/>
      <c r="AH10" s="2452"/>
      <c r="AI10" s="2435"/>
      <c r="AJ10" s="1497"/>
      <c r="AK10" s="191" t="s">
        <v>311</v>
      </c>
      <c r="AL10" s="191" t="s">
        <v>151</v>
      </c>
      <c r="BM10" s="230">
        <v>23</v>
      </c>
    </row>
    <row r="11" spans="1:65" ht="15" customHeight="1">
      <c r="D11" s="2443" t="s">
        <v>100</v>
      </c>
      <c r="E11" s="2439" t="s">
        <v>312</v>
      </c>
      <c r="F11" s="2439" t="s">
        <v>313</v>
      </c>
      <c r="G11" s="2445" t="s">
        <v>19</v>
      </c>
      <c r="H11" s="1522"/>
      <c r="I11" s="2441"/>
      <c r="J11" s="2412"/>
      <c r="K11" s="1437"/>
      <c r="L11" s="2397"/>
      <c r="M11" s="2397"/>
      <c r="N11" s="1507"/>
      <c r="O11" s="2397"/>
      <c r="P11" s="2412"/>
      <c r="Q11" s="1508"/>
      <c r="R11" s="2397"/>
      <c r="S11" s="2397"/>
      <c r="T11" s="1509"/>
      <c r="U11" s="2397"/>
      <c r="V11" s="2412"/>
      <c r="W11" s="1510"/>
      <c r="X11" s="2397"/>
      <c r="Y11" s="2397"/>
      <c r="Z11" s="1507"/>
      <c r="AA11" s="2397"/>
      <c r="AB11" s="2412"/>
      <c r="AC11" s="1511"/>
      <c r="AD11" s="2397"/>
      <c r="AE11" s="2397"/>
      <c r="AF11" s="1436"/>
      <c r="AG11" s="1436"/>
      <c r="AH11" s="1512"/>
      <c r="AI11" s="1219"/>
      <c r="AJ11" s="1497"/>
      <c r="BM11" s="230">
        <v>14</v>
      </c>
    </row>
    <row r="12" spans="1:65" ht="14.65" customHeight="1">
      <c r="D12" s="2443"/>
      <c r="E12" s="2439"/>
      <c r="F12" s="2439"/>
      <c r="G12" s="2446"/>
      <c r="H12" s="1523"/>
      <c r="I12" s="2442"/>
      <c r="J12" s="2413"/>
      <c r="K12" s="1533"/>
      <c r="L12" s="2398"/>
      <c r="M12" s="2398"/>
      <c r="N12" s="1513"/>
      <c r="O12" s="2398"/>
      <c r="P12" s="2413"/>
      <c r="Q12" s="1514"/>
      <c r="R12" s="2398"/>
      <c r="S12" s="2398"/>
      <c r="T12" s="1515"/>
      <c r="U12" s="2398"/>
      <c r="V12" s="2413"/>
      <c r="W12" s="1516"/>
      <c r="X12" s="2398"/>
      <c r="Y12" s="2398"/>
      <c r="Z12" s="1513"/>
      <c r="AA12" s="2398"/>
      <c r="AB12" s="2413"/>
      <c r="AC12" s="1517"/>
      <c r="AD12" s="2398"/>
      <c r="AE12" s="2398"/>
      <c r="AF12" s="1518"/>
      <c r="AG12" s="1518"/>
      <c r="AH12" s="2437"/>
      <c r="AI12" s="2438"/>
      <c r="AJ12" s="1497"/>
      <c r="BM12" s="230">
        <v>14</v>
      </c>
    </row>
    <row r="13" spans="1:65" ht="14.65" customHeight="1">
      <c r="D13" s="2443"/>
      <c r="E13" s="2439"/>
      <c r="F13" s="2439"/>
      <c r="G13" s="2446"/>
      <c r="H13" s="1523"/>
      <c r="I13" s="2442"/>
      <c r="J13" s="2413"/>
      <c r="K13" s="1533"/>
      <c r="L13" s="2398"/>
      <c r="M13" s="2398"/>
      <c r="N13" s="1513"/>
      <c r="O13" s="2398"/>
      <c r="P13" s="2413"/>
      <c r="Q13" s="1514"/>
      <c r="R13" s="2398"/>
      <c r="S13" s="2398"/>
      <c r="T13" s="1515"/>
      <c r="U13" s="2398"/>
      <c r="V13" s="2413"/>
      <c r="W13" s="1516"/>
      <c r="X13" s="2398"/>
      <c r="Y13" s="2398"/>
      <c r="Z13" s="1435"/>
      <c r="AA13" s="1518"/>
      <c r="AB13" s="2437"/>
      <c r="AC13" s="2437"/>
      <c r="AD13" s="2437"/>
      <c r="AE13" s="2437"/>
      <c r="AF13" s="2437"/>
      <c r="AG13" s="2437"/>
      <c r="AH13" s="2437"/>
      <c r="AI13" s="2438"/>
      <c r="AJ13" s="1497"/>
      <c r="BM13" s="230">
        <v>14</v>
      </c>
    </row>
    <row r="14" spans="1:65" ht="14.65" customHeight="1">
      <c r="D14" s="2443"/>
      <c r="E14" s="2439"/>
      <c r="F14" s="2439"/>
      <c r="G14" s="2446"/>
      <c r="H14" s="1523"/>
      <c r="I14" s="2442"/>
      <c r="J14" s="2413"/>
      <c r="K14" s="1533"/>
      <c r="L14" s="2398"/>
      <c r="M14" s="2398"/>
      <c r="N14" s="1513"/>
      <c r="O14" s="2398"/>
      <c r="P14" s="2413"/>
      <c r="Q14" s="1514"/>
      <c r="R14" s="2398"/>
      <c r="S14" s="2398"/>
      <c r="T14" s="1519"/>
      <c r="U14" s="1520"/>
      <c r="V14" s="2437"/>
      <c r="W14" s="2437"/>
      <c r="X14" s="2437"/>
      <c r="Y14" s="2437"/>
      <c r="Z14" s="2437"/>
      <c r="AA14" s="2437"/>
      <c r="AB14" s="2437"/>
      <c r="AC14" s="2437"/>
      <c r="AD14" s="2437"/>
      <c r="AE14" s="2437"/>
      <c r="AF14" s="2437"/>
      <c r="AG14" s="2437"/>
      <c r="AH14" s="2437"/>
      <c r="AI14" s="2438"/>
      <c r="AJ14" s="1497"/>
      <c r="BM14" s="230">
        <v>14</v>
      </c>
    </row>
    <row r="15" spans="1:65" ht="11.45" customHeight="1">
      <c r="D15" s="2443"/>
      <c r="E15" s="2439"/>
      <c r="F15" s="2439"/>
      <c r="G15" s="2446"/>
      <c r="H15" s="1524"/>
      <c r="I15" s="2442"/>
      <c r="J15" s="2413"/>
      <c r="K15" s="1533"/>
      <c r="L15" s="2398"/>
      <c r="M15" s="2398"/>
      <c r="N15" s="1518"/>
      <c r="O15" s="1518"/>
      <c r="P15" s="2437"/>
      <c r="Q15" s="2437"/>
      <c r="R15" s="2437"/>
      <c r="S15" s="2437"/>
      <c r="T15" s="2437"/>
      <c r="U15" s="2437"/>
      <c r="V15" s="2437"/>
      <c r="W15" s="2437"/>
      <c r="X15" s="2437"/>
      <c r="Y15" s="2437"/>
      <c r="Z15" s="2437"/>
      <c r="AA15" s="2437"/>
      <c r="AB15" s="2437"/>
      <c r="AC15" s="2437"/>
      <c r="AD15" s="2437"/>
      <c r="AE15" s="2437"/>
      <c r="AF15" s="2437"/>
      <c r="AG15" s="2437"/>
      <c r="AH15" s="2437"/>
      <c r="AI15" s="2438"/>
      <c r="AJ15" s="1497"/>
      <c r="BM15" s="230">
        <v>11</v>
      </c>
    </row>
    <row r="16" spans="1:65" s="1477" customFormat="1" ht="11.45" customHeight="1">
      <c r="D16" s="2449"/>
      <c r="E16" s="2450"/>
      <c r="F16" s="2440"/>
      <c r="G16" s="2375"/>
      <c r="H16" s="1521"/>
      <c r="I16" s="1525"/>
      <c r="J16" s="2447"/>
      <c r="K16" s="2447"/>
      <c r="L16" s="2447"/>
      <c r="M16" s="2447"/>
      <c r="N16" s="2447"/>
      <c r="O16" s="2447"/>
      <c r="P16" s="2447"/>
      <c r="Q16" s="2447"/>
      <c r="R16" s="2447"/>
      <c r="S16" s="2447"/>
      <c r="T16" s="2447"/>
      <c r="U16" s="2447"/>
      <c r="V16" s="2447"/>
      <c r="W16" s="2447"/>
      <c r="X16" s="2447"/>
      <c r="Y16" s="2447"/>
      <c r="Z16" s="2447"/>
      <c r="AA16" s="2447"/>
      <c r="AB16" s="2447"/>
      <c r="AC16" s="2447"/>
      <c r="AD16" s="2447"/>
      <c r="AE16" s="2447"/>
      <c r="AF16" s="2447"/>
      <c r="AG16" s="2447"/>
      <c r="AH16" s="2447"/>
      <c r="AI16" s="2448"/>
      <c r="AJ16" s="1497"/>
      <c r="AK16" s="243"/>
      <c r="AL16" s="1497"/>
      <c r="AM16" s="1497"/>
      <c r="AN16" s="1497"/>
      <c r="AO16" s="1497"/>
      <c r="AP16" s="1497"/>
      <c r="AQ16" s="1497"/>
      <c r="AR16" s="1497"/>
      <c r="AS16" s="1497"/>
      <c r="AT16" s="1497"/>
      <c r="AU16" s="1497"/>
      <c r="AV16" s="1497"/>
      <c r="AW16" s="1497"/>
      <c r="AX16" s="1497"/>
      <c r="AY16" s="1497"/>
      <c r="AZ16" s="1497"/>
      <c r="BA16" s="1497"/>
      <c r="BB16" s="1497"/>
      <c r="BC16" s="1497"/>
      <c r="BD16" s="1497"/>
      <c r="BE16" s="1497"/>
      <c r="BF16" s="1497"/>
      <c r="BG16" s="1497"/>
      <c r="BH16" s="1497"/>
      <c r="BI16" s="1497"/>
      <c r="BJ16" s="1497"/>
      <c r="BK16" s="1497"/>
      <c r="BL16" s="1497"/>
      <c r="BM16" s="1477">
        <v>11</v>
      </c>
    </row>
    <row r="17" spans="4:65" ht="15" customHeight="1">
      <c r="D17" s="2443" t="s">
        <v>103</v>
      </c>
      <c r="E17" s="2439" t="s">
        <v>312</v>
      </c>
      <c r="F17" s="2439" t="s">
        <v>314</v>
      </c>
      <c r="G17" s="2445" t="s">
        <v>19</v>
      </c>
      <c r="H17" s="1522"/>
      <c r="I17" s="2441"/>
      <c r="J17" s="2412"/>
      <c r="K17" s="1437"/>
      <c r="L17" s="2397"/>
      <c r="M17" s="2397"/>
      <c r="N17" s="1507"/>
      <c r="O17" s="2397"/>
      <c r="P17" s="2412"/>
      <c r="Q17" s="1508"/>
      <c r="R17" s="2397"/>
      <c r="S17" s="2397"/>
      <c r="T17" s="1509"/>
      <c r="U17" s="2397"/>
      <c r="V17" s="2412"/>
      <c r="W17" s="1510"/>
      <c r="X17" s="2397"/>
      <c r="Y17" s="2397"/>
      <c r="Z17" s="1507"/>
      <c r="AA17" s="2397"/>
      <c r="AB17" s="2412"/>
      <c r="AC17" s="1511"/>
      <c r="AD17" s="2397"/>
      <c r="AE17" s="2397"/>
      <c r="AF17" s="1436"/>
      <c r="AG17" s="1436"/>
      <c r="AH17" s="1512"/>
      <c r="AI17" s="1219"/>
      <c r="AJ17" s="1497"/>
      <c r="BM17" s="230">
        <v>14</v>
      </c>
    </row>
    <row r="18" spans="4:65" ht="14.65" customHeight="1">
      <c r="D18" s="2443"/>
      <c r="E18" s="2439"/>
      <c r="F18" s="2439"/>
      <c r="G18" s="2446"/>
      <c r="H18" s="1523"/>
      <c r="I18" s="2442"/>
      <c r="J18" s="2413"/>
      <c r="K18" s="1506"/>
      <c r="L18" s="2398"/>
      <c r="M18" s="2398"/>
      <c r="N18" s="1513"/>
      <c r="O18" s="2398"/>
      <c r="P18" s="2413"/>
      <c r="Q18" s="1514"/>
      <c r="R18" s="2398"/>
      <c r="S18" s="2398"/>
      <c r="T18" s="1515"/>
      <c r="U18" s="2398"/>
      <c r="V18" s="2413"/>
      <c r="W18" s="1516"/>
      <c r="X18" s="2398"/>
      <c r="Y18" s="2398"/>
      <c r="Z18" s="1513"/>
      <c r="AA18" s="2398"/>
      <c r="AB18" s="2413"/>
      <c r="AC18" s="1517"/>
      <c r="AD18" s="2398"/>
      <c r="AE18" s="2398"/>
      <c r="AF18" s="1518"/>
      <c r="AG18" s="1518"/>
      <c r="AH18" s="2437"/>
      <c r="AI18" s="2438"/>
      <c r="AJ18" s="1497"/>
      <c r="BM18" s="230">
        <v>14</v>
      </c>
    </row>
    <row r="19" spans="4:65" ht="14.65" customHeight="1">
      <c r="D19" s="2443"/>
      <c r="E19" s="2439"/>
      <c r="F19" s="2439"/>
      <c r="G19" s="2446"/>
      <c r="H19" s="1523"/>
      <c r="I19" s="2442"/>
      <c r="J19" s="2413"/>
      <c r="K19" s="1506"/>
      <c r="L19" s="2398"/>
      <c r="M19" s="2398"/>
      <c r="N19" s="1513"/>
      <c r="O19" s="2398"/>
      <c r="P19" s="2413"/>
      <c r="Q19" s="1514"/>
      <c r="R19" s="2398"/>
      <c r="S19" s="2398"/>
      <c r="T19" s="1515"/>
      <c r="U19" s="2398"/>
      <c r="V19" s="2413"/>
      <c r="W19" s="1516"/>
      <c r="X19" s="2398"/>
      <c r="Y19" s="2398"/>
      <c r="Z19" s="1435"/>
      <c r="AA19" s="1518"/>
      <c r="AB19" s="2437"/>
      <c r="AC19" s="2437"/>
      <c r="AD19" s="2437"/>
      <c r="AE19" s="2437"/>
      <c r="AF19" s="2437"/>
      <c r="AG19" s="2437"/>
      <c r="AH19" s="2437"/>
      <c r="AI19" s="2438"/>
      <c r="AJ19" s="1497"/>
      <c r="BM19" s="230">
        <v>14</v>
      </c>
    </row>
    <row r="20" spans="4:65" ht="14.65" customHeight="1">
      <c r="D20" s="2443"/>
      <c r="E20" s="2439"/>
      <c r="F20" s="2439"/>
      <c r="G20" s="2446"/>
      <c r="H20" s="1523"/>
      <c r="I20" s="2442"/>
      <c r="J20" s="2413"/>
      <c r="K20" s="1506"/>
      <c r="L20" s="2398"/>
      <c r="M20" s="2398"/>
      <c r="N20" s="1513"/>
      <c r="O20" s="2398"/>
      <c r="P20" s="2413"/>
      <c r="Q20" s="1514"/>
      <c r="R20" s="2398"/>
      <c r="S20" s="2398"/>
      <c r="T20" s="1519"/>
      <c r="U20" s="1520"/>
      <c r="V20" s="2437"/>
      <c r="W20" s="2437"/>
      <c r="X20" s="2437"/>
      <c r="Y20" s="2437"/>
      <c r="Z20" s="2437"/>
      <c r="AA20" s="2437"/>
      <c r="AB20" s="2437"/>
      <c r="AC20" s="2437"/>
      <c r="AD20" s="2437"/>
      <c r="AE20" s="2437"/>
      <c r="AF20" s="2437"/>
      <c r="AG20" s="2437"/>
      <c r="AH20" s="2437"/>
      <c r="AI20" s="2438"/>
      <c r="AJ20" s="1497"/>
      <c r="BM20" s="230">
        <v>14</v>
      </c>
    </row>
    <row r="21" spans="4:65" ht="11.45" customHeight="1">
      <c r="D21" s="2443"/>
      <c r="E21" s="2439"/>
      <c r="F21" s="2439"/>
      <c r="G21" s="2446"/>
      <c r="H21" s="1524"/>
      <c r="I21" s="2442"/>
      <c r="J21" s="2413"/>
      <c r="K21" s="1506"/>
      <c r="L21" s="2398"/>
      <c r="M21" s="2398"/>
      <c r="N21" s="1518"/>
      <c r="O21" s="1518"/>
      <c r="P21" s="2437"/>
      <c r="Q21" s="2437"/>
      <c r="R21" s="2437"/>
      <c r="S21" s="2437"/>
      <c r="T21" s="2437"/>
      <c r="U21" s="2437"/>
      <c r="V21" s="2437"/>
      <c r="W21" s="2437"/>
      <c r="X21" s="2437"/>
      <c r="Y21" s="2437"/>
      <c r="Z21" s="2437"/>
      <c r="AA21" s="2437"/>
      <c r="AB21" s="2437"/>
      <c r="AC21" s="2437"/>
      <c r="AD21" s="2437"/>
      <c r="AE21" s="2437"/>
      <c r="AF21" s="2437"/>
      <c r="AG21" s="2437"/>
      <c r="AH21" s="2437"/>
      <c r="AI21" s="2438"/>
      <c r="AJ21" s="1497"/>
      <c r="BM21" s="230">
        <v>11</v>
      </c>
    </row>
    <row r="22" spans="4:65" s="1477" customFormat="1" ht="11.45" customHeight="1">
      <c r="D22" s="2449"/>
      <c r="E22" s="2450"/>
      <c r="F22" s="2440"/>
      <c r="G22" s="2375"/>
      <c r="H22" s="1521"/>
      <c r="I22" s="1525"/>
      <c r="J22" s="2447"/>
      <c r="K22" s="2447"/>
      <c r="L22" s="2447"/>
      <c r="M22" s="2447"/>
      <c r="N22" s="2447"/>
      <c r="O22" s="2447"/>
      <c r="P22" s="2447"/>
      <c r="Q22" s="2447"/>
      <c r="R22" s="2447"/>
      <c r="S22" s="2447"/>
      <c r="T22" s="2447"/>
      <c r="U22" s="2447"/>
      <c r="V22" s="2447"/>
      <c r="W22" s="2447"/>
      <c r="X22" s="2447"/>
      <c r="Y22" s="2447"/>
      <c r="Z22" s="2447"/>
      <c r="AA22" s="2447"/>
      <c r="AB22" s="2447"/>
      <c r="AC22" s="2447"/>
      <c r="AD22" s="2447"/>
      <c r="AE22" s="2447"/>
      <c r="AF22" s="2447"/>
      <c r="AG22" s="2447"/>
      <c r="AH22" s="2447"/>
      <c r="AI22" s="2448"/>
      <c r="AJ22" s="1497"/>
      <c r="AK22" s="243"/>
      <c r="AL22" s="1497"/>
      <c r="AM22" s="1497"/>
      <c r="AN22" s="1497"/>
      <c r="AO22" s="1497"/>
      <c r="AP22" s="1497"/>
      <c r="AQ22" s="1497"/>
      <c r="AR22" s="1497"/>
      <c r="AS22" s="1497"/>
      <c r="AT22" s="1497"/>
      <c r="AU22" s="1497"/>
      <c r="AV22" s="1497"/>
      <c r="AW22" s="1497"/>
      <c r="AX22" s="1497"/>
      <c r="AY22" s="1497"/>
      <c r="AZ22" s="1497"/>
      <c r="BA22" s="1497"/>
      <c r="BB22" s="1497"/>
      <c r="BC22" s="1497"/>
      <c r="BD22" s="1497"/>
      <c r="BE22" s="1497"/>
      <c r="BF22" s="1497"/>
      <c r="BG22" s="1497"/>
      <c r="BH22" s="1497"/>
      <c r="BI22" s="1497"/>
      <c r="BJ22" s="1497"/>
      <c r="BK22" s="1497"/>
      <c r="BL22" s="1497"/>
      <c r="BM22" s="1477">
        <v>11</v>
      </c>
    </row>
    <row r="23" spans="4:65" ht="15" customHeight="1">
      <c r="D23" s="2443" t="s">
        <v>91</v>
      </c>
      <c r="E23" s="2439" t="s">
        <v>312</v>
      </c>
      <c r="F23" s="2439" t="s">
        <v>315</v>
      </c>
      <c r="G23" s="2445" t="s">
        <v>19</v>
      </c>
      <c r="H23" s="1522"/>
      <c r="I23" s="2441"/>
      <c r="J23" s="2412"/>
      <c r="K23" s="1437"/>
      <c r="L23" s="2397"/>
      <c r="M23" s="2397"/>
      <c r="N23" s="1507"/>
      <c r="O23" s="2397"/>
      <c r="P23" s="2412"/>
      <c r="Q23" s="1508"/>
      <c r="R23" s="2397"/>
      <c r="S23" s="2397"/>
      <c r="T23" s="1509"/>
      <c r="U23" s="2397"/>
      <c r="V23" s="2412"/>
      <c r="W23" s="1510"/>
      <c r="X23" s="2397"/>
      <c r="Y23" s="2397"/>
      <c r="Z23" s="1507"/>
      <c r="AA23" s="2397"/>
      <c r="AB23" s="2412"/>
      <c r="AC23" s="1511"/>
      <c r="AD23" s="2397"/>
      <c r="AE23" s="2397"/>
      <c r="AF23" s="1436"/>
      <c r="AG23" s="1436"/>
      <c r="AH23" s="1512"/>
      <c r="AI23" s="1219"/>
      <c r="AJ23" s="1497"/>
      <c r="AK23" s="243" t="s">
        <v>99</v>
      </c>
      <c r="BM23" s="230">
        <v>14</v>
      </c>
    </row>
    <row r="24" spans="4:65" ht="14.65" customHeight="1">
      <c r="D24" s="2443"/>
      <c r="E24" s="2439"/>
      <c r="F24" s="2439"/>
      <c r="G24" s="2446"/>
      <c r="H24" s="1523"/>
      <c r="I24" s="2442"/>
      <c r="J24" s="2413"/>
      <c r="K24" s="1533"/>
      <c r="L24" s="2398"/>
      <c r="M24" s="2398"/>
      <c r="N24" s="1513"/>
      <c r="O24" s="2398"/>
      <c r="P24" s="2413"/>
      <c r="Q24" s="1514"/>
      <c r="R24" s="2398"/>
      <c r="S24" s="2398"/>
      <c r="T24" s="1515"/>
      <c r="U24" s="2398"/>
      <c r="V24" s="2413"/>
      <c r="W24" s="1516"/>
      <c r="X24" s="2398"/>
      <c r="Y24" s="2398"/>
      <c r="Z24" s="1513"/>
      <c r="AA24" s="2398"/>
      <c r="AB24" s="2413"/>
      <c r="AC24" s="1517"/>
      <c r="AD24" s="2398"/>
      <c r="AE24" s="2398"/>
      <c r="AF24" s="1518"/>
      <c r="AG24" s="1518"/>
      <c r="AH24" s="2437"/>
      <c r="AI24" s="2438"/>
      <c r="AJ24" s="1497"/>
      <c r="BM24" s="230">
        <v>14</v>
      </c>
    </row>
    <row r="25" spans="4:65" ht="14.65" customHeight="1">
      <c r="D25" s="2443"/>
      <c r="E25" s="2439"/>
      <c r="F25" s="2439"/>
      <c r="G25" s="2446"/>
      <c r="H25" s="1523"/>
      <c r="I25" s="2442"/>
      <c r="J25" s="2413"/>
      <c r="K25" s="1533"/>
      <c r="L25" s="2398"/>
      <c r="M25" s="2398"/>
      <c r="N25" s="1513"/>
      <c r="O25" s="2398"/>
      <c r="P25" s="2413"/>
      <c r="Q25" s="1514"/>
      <c r="R25" s="2398"/>
      <c r="S25" s="2398"/>
      <c r="T25" s="1515"/>
      <c r="U25" s="2398"/>
      <c r="V25" s="2413"/>
      <c r="W25" s="1516"/>
      <c r="X25" s="2398"/>
      <c r="Y25" s="2398"/>
      <c r="Z25" s="1435"/>
      <c r="AA25" s="1518"/>
      <c r="AB25" s="2437"/>
      <c r="AC25" s="2437"/>
      <c r="AD25" s="2437"/>
      <c r="AE25" s="2437"/>
      <c r="AF25" s="2437"/>
      <c r="AG25" s="2437"/>
      <c r="AH25" s="2437"/>
      <c r="AI25" s="2438"/>
      <c r="AJ25" s="1497"/>
      <c r="BM25" s="230">
        <v>14</v>
      </c>
    </row>
    <row r="26" spans="4:65" ht="14.65" customHeight="1">
      <c r="D26" s="2443"/>
      <c r="E26" s="2439"/>
      <c r="F26" s="2439"/>
      <c r="G26" s="2446"/>
      <c r="H26" s="1523"/>
      <c r="I26" s="2442"/>
      <c r="J26" s="2413"/>
      <c r="K26" s="1533"/>
      <c r="L26" s="2398"/>
      <c r="M26" s="2398"/>
      <c r="N26" s="1513"/>
      <c r="O26" s="2398"/>
      <c r="P26" s="2413"/>
      <c r="Q26" s="1514"/>
      <c r="R26" s="2398"/>
      <c r="S26" s="2398"/>
      <c r="T26" s="1519"/>
      <c r="U26" s="1520"/>
      <c r="V26" s="2437"/>
      <c r="W26" s="2437"/>
      <c r="X26" s="2437"/>
      <c r="Y26" s="2437"/>
      <c r="Z26" s="2437"/>
      <c r="AA26" s="2437"/>
      <c r="AB26" s="2437"/>
      <c r="AC26" s="2437"/>
      <c r="AD26" s="2437"/>
      <c r="AE26" s="2437"/>
      <c r="AF26" s="2437"/>
      <c r="AG26" s="2437"/>
      <c r="AH26" s="2437"/>
      <c r="AI26" s="2438"/>
      <c r="AJ26" s="1497"/>
      <c r="BM26" s="230">
        <v>14</v>
      </c>
    </row>
    <row r="27" spans="4:65" ht="11.45" customHeight="1">
      <c r="D27" s="2443"/>
      <c r="E27" s="2439"/>
      <c r="F27" s="2439"/>
      <c r="G27" s="2446"/>
      <c r="H27" s="1524"/>
      <c r="I27" s="2442"/>
      <c r="J27" s="2413"/>
      <c r="K27" s="1533"/>
      <c r="L27" s="2398"/>
      <c r="M27" s="2398"/>
      <c r="N27" s="1518"/>
      <c r="O27" s="1518"/>
      <c r="P27" s="2437"/>
      <c r="Q27" s="2437"/>
      <c r="R27" s="2437"/>
      <c r="S27" s="2437"/>
      <c r="T27" s="2437"/>
      <c r="U27" s="2437"/>
      <c r="V27" s="2437"/>
      <c r="W27" s="2437"/>
      <c r="X27" s="2437"/>
      <c r="Y27" s="2437"/>
      <c r="Z27" s="2437"/>
      <c r="AA27" s="2437"/>
      <c r="AB27" s="2437"/>
      <c r="AC27" s="2437"/>
      <c r="AD27" s="2437"/>
      <c r="AE27" s="2437"/>
      <c r="AF27" s="2437"/>
      <c r="AG27" s="2437"/>
      <c r="AH27" s="2437"/>
      <c r="AI27" s="2438"/>
      <c r="AJ27" s="1497"/>
      <c r="BM27" s="230">
        <v>11</v>
      </c>
    </row>
    <row r="28" spans="4:65" s="1477" customFormat="1" ht="11.45" customHeight="1">
      <c r="D28" s="2449"/>
      <c r="E28" s="2450"/>
      <c r="F28" s="2440"/>
      <c r="G28" s="2375"/>
      <c r="H28" s="1521"/>
      <c r="I28" s="1525"/>
      <c r="J28" s="2447"/>
      <c r="K28" s="2447"/>
      <c r="L28" s="2447"/>
      <c r="M28" s="2447"/>
      <c r="N28" s="2447"/>
      <c r="O28" s="2447"/>
      <c r="P28" s="2447"/>
      <c r="Q28" s="2447"/>
      <c r="R28" s="2447"/>
      <c r="S28" s="2447"/>
      <c r="T28" s="2447"/>
      <c r="U28" s="2447"/>
      <c r="V28" s="2447"/>
      <c r="W28" s="2447"/>
      <c r="X28" s="2447"/>
      <c r="Y28" s="2447"/>
      <c r="Z28" s="2447"/>
      <c r="AA28" s="2447"/>
      <c r="AB28" s="2447"/>
      <c r="AC28" s="2447"/>
      <c r="AD28" s="2447"/>
      <c r="AE28" s="2447"/>
      <c r="AF28" s="2447"/>
      <c r="AG28" s="2447"/>
      <c r="AH28" s="2447"/>
      <c r="AI28" s="2448"/>
      <c r="AJ28" s="1497"/>
      <c r="AK28" s="243"/>
      <c r="AL28" s="1497"/>
      <c r="AM28" s="1497"/>
      <c r="AN28" s="1497"/>
      <c r="AO28" s="1497"/>
      <c r="AP28" s="1497"/>
      <c r="AQ28" s="1497"/>
      <c r="AR28" s="1497"/>
      <c r="AS28" s="1497"/>
      <c r="AT28" s="1497"/>
      <c r="AU28" s="1497"/>
      <c r="AV28" s="1497"/>
      <c r="AW28" s="1497"/>
      <c r="AX28" s="1497"/>
      <c r="AY28" s="1497"/>
      <c r="AZ28" s="1497"/>
      <c r="BA28" s="1497"/>
      <c r="BB28" s="1497"/>
      <c r="BC28" s="1497"/>
      <c r="BD28" s="1497"/>
      <c r="BE28" s="1497"/>
      <c r="BF28" s="1497"/>
      <c r="BG28" s="1497"/>
      <c r="BH28" s="1497"/>
      <c r="BI28" s="1497"/>
      <c r="BJ28" s="1497"/>
      <c r="BK28" s="1497"/>
      <c r="BL28" s="1497"/>
      <c r="BM28" s="1477">
        <v>11</v>
      </c>
    </row>
    <row r="29" spans="4:65" ht="15" customHeight="1">
      <c r="D29" s="2443" t="s">
        <v>92</v>
      </c>
      <c r="E29" s="2439" t="s">
        <v>312</v>
      </c>
      <c r="F29" s="2439" t="s">
        <v>316</v>
      </c>
      <c r="G29" s="2445" t="s">
        <v>19</v>
      </c>
      <c r="H29" s="1522"/>
      <c r="I29" s="2441"/>
      <c r="J29" s="2412"/>
      <c r="K29" s="1437"/>
      <c r="L29" s="2397"/>
      <c r="M29" s="2397"/>
      <c r="N29" s="1507"/>
      <c r="O29" s="2397"/>
      <c r="P29" s="2412"/>
      <c r="Q29" s="1508"/>
      <c r="R29" s="2397"/>
      <c r="S29" s="2397"/>
      <c r="T29" s="1509"/>
      <c r="U29" s="2397"/>
      <c r="V29" s="2412"/>
      <c r="W29" s="1510"/>
      <c r="X29" s="2397"/>
      <c r="Y29" s="2397"/>
      <c r="Z29" s="1507"/>
      <c r="AA29" s="2397"/>
      <c r="AB29" s="2412"/>
      <c r="AC29" s="1511"/>
      <c r="AD29" s="2397"/>
      <c r="AE29" s="2397"/>
      <c r="AF29" s="1436"/>
      <c r="AG29" s="1436"/>
      <c r="AH29" s="1512"/>
      <c r="AI29" s="1219"/>
      <c r="AJ29" s="1497"/>
      <c r="BM29" s="230">
        <v>14</v>
      </c>
    </row>
    <row r="30" spans="4:65" ht="14.65" customHeight="1">
      <c r="D30" s="2443"/>
      <c r="E30" s="2439"/>
      <c r="F30" s="2439"/>
      <c r="G30" s="2446"/>
      <c r="H30" s="1523"/>
      <c r="I30" s="2442"/>
      <c r="J30" s="2413"/>
      <c r="K30" s="1506"/>
      <c r="L30" s="2398"/>
      <c r="M30" s="2398"/>
      <c r="N30" s="1513"/>
      <c r="O30" s="2398"/>
      <c r="P30" s="2413"/>
      <c r="Q30" s="1514"/>
      <c r="R30" s="2398"/>
      <c r="S30" s="2398"/>
      <c r="T30" s="1515"/>
      <c r="U30" s="2398"/>
      <c r="V30" s="2413"/>
      <c r="W30" s="1516"/>
      <c r="X30" s="2398"/>
      <c r="Y30" s="2398"/>
      <c r="Z30" s="1513"/>
      <c r="AA30" s="2398"/>
      <c r="AB30" s="2413"/>
      <c r="AC30" s="1517"/>
      <c r="AD30" s="2398"/>
      <c r="AE30" s="2398"/>
      <c r="AF30" s="1518"/>
      <c r="AG30" s="1518"/>
      <c r="AH30" s="2437"/>
      <c r="AI30" s="2438"/>
      <c r="AJ30" s="1497"/>
      <c r="BM30" s="230">
        <v>14</v>
      </c>
    </row>
    <row r="31" spans="4:65" ht="14.65" customHeight="1">
      <c r="D31" s="2443"/>
      <c r="E31" s="2439"/>
      <c r="F31" s="2439"/>
      <c r="G31" s="2446"/>
      <c r="H31" s="1523"/>
      <c r="I31" s="2442"/>
      <c r="J31" s="2413"/>
      <c r="K31" s="1506"/>
      <c r="L31" s="2398"/>
      <c r="M31" s="2398"/>
      <c r="N31" s="1513"/>
      <c r="O31" s="2398"/>
      <c r="P31" s="2413"/>
      <c r="Q31" s="1514"/>
      <c r="R31" s="2398"/>
      <c r="S31" s="2398"/>
      <c r="T31" s="1515"/>
      <c r="U31" s="2398"/>
      <c r="V31" s="2413"/>
      <c r="W31" s="1516"/>
      <c r="X31" s="2398"/>
      <c r="Y31" s="2398"/>
      <c r="Z31" s="1435"/>
      <c r="AA31" s="1518"/>
      <c r="AB31" s="2437"/>
      <c r="AC31" s="2437"/>
      <c r="AD31" s="2437"/>
      <c r="AE31" s="2437"/>
      <c r="AF31" s="2437"/>
      <c r="AG31" s="2437"/>
      <c r="AH31" s="2437"/>
      <c r="AI31" s="2438"/>
      <c r="AJ31" s="1497"/>
      <c r="BM31" s="230">
        <v>14</v>
      </c>
    </row>
    <row r="32" spans="4:65" ht="14.65" customHeight="1">
      <c r="D32" s="2443"/>
      <c r="E32" s="2439"/>
      <c r="F32" s="2439"/>
      <c r="G32" s="2446"/>
      <c r="H32" s="1523"/>
      <c r="I32" s="2442"/>
      <c r="J32" s="2413"/>
      <c r="K32" s="1506"/>
      <c r="L32" s="2398"/>
      <c r="M32" s="2398"/>
      <c r="N32" s="1513"/>
      <c r="O32" s="2398"/>
      <c r="P32" s="2413"/>
      <c r="Q32" s="1514"/>
      <c r="R32" s="2398"/>
      <c r="S32" s="2398"/>
      <c r="T32" s="1519"/>
      <c r="U32" s="1520"/>
      <c r="V32" s="2437"/>
      <c r="W32" s="2437"/>
      <c r="X32" s="2437"/>
      <c r="Y32" s="2437"/>
      <c r="Z32" s="2437"/>
      <c r="AA32" s="2437"/>
      <c r="AB32" s="2437"/>
      <c r="AC32" s="2437"/>
      <c r="AD32" s="2437"/>
      <c r="AE32" s="2437"/>
      <c r="AF32" s="2437"/>
      <c r="AG32" s="2437"/>
      <c r="AH32" s="2437"/>
      <c r="AI32" s="2438"/>
      <c r="AJ32" s="1497"/>
      <c r="BM32" s="230">
        <v>14</v>
      </c>
    </row>
    <row r="33" spans="4:65" ht="11.45" customHeight="1">
      <c r="D33" s="2443"/>
      <c r="E33" s="2439"/>
      <c r="F33" s="2439"/>
      <c r="G33" s="2446"/>
      <c r="H33" s="1524"/>
      <c r="I33" s="2442"/>
      <c r="J33" s="2413"/>
      <c r="K33" s="1506"/>
      <c r="L33" s="2398"/>
      <c r="M33" s="2398"/>
      <c r="N33" s="1518"/>
      <c r="O33" s="1518"/>
      <c r="P33" s="2437"/>
      <c r="Q33" s="2437"/>
      <c r="R33" s="2437"/>
      <c r="S33" s="2437"/>
      <c r="T33" s="2437"/>
      <c r="U33" s="2437"/>
      <c r="V33" s="2437"/>
      <c r="W33" s="2437"/>
      <c r="X33" s="2437"/>
      <c r="Y33" s="2437"/>
      <c r="Z33" s="2437"/>
      <c r="AA33" s="2437"/>
      <c r="AB33" s="2437"/>
      <c r="AC33" s="2437"/>
      <c r="AD33" s="2437"/>
      <c r="AE33" s="2437"/>
      <c r="AF33" s="2437"/>
      <c r="AG33" s="2437"/>
      <c r="AH33" s="2437"/>
      <c r="AI33" s="2438"/>
      <c r="AJ33" s="1497"/>
      <c r="BM33" s="230">
        <v>11</v>
      </c>
    </row>
    <row r="34" spans="4:65" s="1477" customFormat="1" ht="11.45" customHeight="1">
      <c r="D34" s="2449"/>
      <c r="E34" s="2450"/>
      <c r="F34" s="2440"/>
      <c r="G34" s="2375"/>
      <c r="H34" s="1521"/>
      <c r="I34" s="1525"/>
      <c r="J34" s="2447"/>
      <c r="K34" s="2447"/>
      <c r="L34" s="2447"/>
      <c r="M34" s="2447"/>
      <c r="N34" s="2447"/>
      <c r="O34" s="2447"/>
      <c r="P34" s="2447"/>
      <c r="Q34" s="2447"/>
      <c r="R34" s="2447"/>
      <c r="S34" s="2447"/>
      <c r="T34" s="2447"/>
      <c r="U34" s="2447"/>
      <c r="V34" s="2447"/>
      <c r="W34" s="2447"/>
      <c r="X34" s="2447"/>
      <c r="Y34" s="2447"/>
      <c r="Z34" s="2447"/>
      <c r="AA34" s="2447"/>
      <c r="AB34" s="2447"/>
      <c r="AC34" s="2447"/>
      <c r="AD34" s="2447"/>
      <c r="AE34" s="2447"/>
      <c r="AF34" s="2447"/>
      <c r="AG34" s="2447"/>
      <c r="AH34" s="2447"/>
      <c r="AI34" s="2448"/>
      <c r="AJ34" s="1497"/>
      <c r="AK34" s="243"/>
      <c r="AL34" s="1497"/>
      <c r="AM34" s="1497"/>
      <c r="AN34" s="1497"/>
      <c r="AO34" s="1497"/>
      <c r="AP34" s="1497"/>
      <c r="AQ34" s="1497"/>
      <c r="AR34" s="1497"/>
      <c r="AS34" s="1497"/>
      <c r="AT34" s="1497"/>
      <c r="AU34" s="1497"/>
      <c r="AV34" s="1497"/>
      <c r="AW34" s="1497"/>
      <c r="AX34" s="1497"/>
      <c r="AY34" s="1497"/>
      <c r="AZ34" s="1497"/>
      <c r="BA34" s="1497"/>
      <c r="BB34" s="1497"/>
      <c r="BC34" s="1497"/>
      <c r="BD34" s="1497"/>
      <c r="BE34" s="1497"/>
      <c r="BF34" s="1497"/>
      <c r="BG34" s="1497"/>
      <c r="BH34" s="1497"/>
      <c r="BI34" s="1497"/>
      <c r="BJ34" s="1497"/>
      <c r="BK34" s="1497"/>
      <c r="BL34" s="1497"/>
      <c r="BM34" s="1477">
        <v>11</v>
      </c>
    </row>
    <row r="35" spans="4:65" ht="15" customHeight="1">
      <c r="D35" s="2443" t="s">
        <v>123</v>
      </c>
      <c r="E35" s="2439" t="s">
        <v>312</v>
      </c>
      <c r="F35" s="2439" t="s">
        <v>317</v>
      </c>
      <c r="G35" s="2445" t="s">
        <v>19</v>
      </c>
      <c r="H35" s="1522"/>
      <c r="I35" s="2441"/>
      <c r="J35" s="2412"/>
      <c r="K35" s="1437"/>
      <c r="L35" s="2397"/>
      <c r="M35" s="2397"/>
      <c r="N35" s="1507"/>
      <c r="O35" s="2397"/>
      <c r="P35" s="2412"/>
      <c r="Q35" s="1508"/>
      <c r="R35" s="2397"/>
      <c r="S35" s="2397"/>
      <c r="T35" s="1509"/>
      <c r="U35" s="2397"/>
      <c r="V35" s="2412"/>
      <c r="W35" s="1510"/>
      <c r="X35" s="2397"/>
      <c r="Y35" s="2397"/>
      <c r="Z35" s="1507"/>
      <c r="AA35" s="2397"/>
      <c r="AB35" s="2412"/>
      <c r="AC35" s="1511"/>
      <c r="AD35" s="2397"/>
      <c r="AE35" s="2397"/>
      <c r="AF35" s="1436"/>
      <c r="AG35" s="1436"/>
      <c r="AH35" s="1512"/>
      <c r="AI35" s="1219"/>
      <c r="AJ35" s="1497"/>
      <c r="BM35" s="230">
        <v>14</v>
      </c>
    </row>
    <row r="36" spans="4:65" ht="14.65" customHeight="1">
      <c r="D36" s="2443"/>
      <c r="E36" s="2439"/>
      <c r="F36" s="2439"/>
      <c r="G36" s="2446"/>
      <c r="H36" s="1523"/>
      <c r="I36" s="2442"/>
      <c r="J36" s="2413"/>
      <c r="K36" s="1506"/>
      <c r="L36" s="2398"/>
      <c r="M36" s="2398"/>
      <c r="N36" s="1513"/>
      <c r="O36" s="2398"/>
      <c r="P36" s="2413"/>
      <c r="Q36" s="1514"/>
      <c r="R36" s="2398"/>
      <c r="S36" s="2398"/>
      <c r="T36" s="1515"/>
      <c r="U36" s="2398"/>
      <c r="V36" s="2413"/>
      <c r="W36" s="1516"/>
      <c r="X36" s="2398"/>
      <c r="Y36" s="2398"/>
      <c r="Z36" s="1513"/>
      <c r="AA36" s="2398"/>
      <c r="AB36" s="2413"/>
      <c r="AC36" s="1517"/>
      <c r="AD36" s="2398"/>
      <c r="AE36" s="2398"/>
      <c r="AF36" s="1518"/>
      <c r="AG36" s="1518"/>
      <c r="AH36" s="2437"/>
      <c r="AI36" s="2438"/>
      <c r="AJ36" s="1497"/>
      <c r="BM36" s="230">
        <v>14</v>
      </c>
    </row>
    <row r="37" spans="4:65" ht="14.65" customHeight="1">
      <c r="D37" s="2443"/>
      <c r="E37" s="2439"/>
      <c r="F37" s="2439"/>
      <c r="G37" s="2446"/>
      <c r="H37" s="1523"/>
      <c r="I37" s="2442"/>
      <c r="J37" s="2413"/>
      <c r="K37" s="1506"/>
      <c r="L37" s="2398"/>
      <c r="M37" s="2398"/>
      <c r="N37" s="1513"/>
      <c r="O37" s="2398"/>
      <c r="P37" s="2413"/>
      <c r="Q37" s="1514"/>
      <c r="R37" s="2398"/>
      <c r="S37" s="2398"/>
      <c r="T37" s="1515"/>
      <c r="U37" s="2398"/>
      <c r="V37" s="2413"/>
      <c r="W37" s="1516"/>
      <c r="X37" s="2398"/>
      <c r="Y37" s="2398"/>
      <c r="Z37" s="1435"/>
      <c r="AA37" s="1518"/>
      <c r="AB37" s="2437"/>
      <c r="AC37" s="2437"/>
      <c r="AD37" s="2437"/>
      <c r="AE37" s="2437"/>
      <c r="AF37" s="2437"/>
      <c r="AG37" s="2437"/>
      <c r="AH37" s="2437"/>
      <c r="AI37" s="2438"/>
      <c r="AJ37" s="1497"/>
      <c r="BM37" s="230">
        <v>14</v>
      </c>
    </row>
    <row r="38" spans="4:65" ht="14.65" customHeight="1">
      <c r="D38" s="2443"/>
      <c r="E38" s="2439"/>
      <c r="F38" s="2439"/>
      <c r="G38" s="2446"/>
      <c r="H38" s="1523"/>
      <c r="I38" s="2442"/>
      <c r="J38" s="2413"/>
      <c r="K38" s="1506"/>
      <c r="L38" s="2398"/>
      <c r="M38" s="2398"/>
      <c r="N38" s="1513"/>
      <c r="O38" s="2398"/>
      <c r="P38" s="2413"/>
      <c r="Q38" s="1514"/>
      <c r="R38" s="2398"/>
      <c r="S38" s="2398"/>
      <c r="T38" s="1519"/>
      <c r="U38" s="1520"/>
      <c r="V38" s="2437"/>
      <c r="W38" s="2437"/>
      <c r="X38" s="2437"/>
      <c r="Y38" s="2437"/>
      <c r="Z38" s="2437"/>
      <c r="AA38" s="2437"/>
      <c r="AB38" s="2437"/>
      <c r="AC38" s="2437"/>
      <c r="AD38" s="2437"/>
      <c r="AE38" s="2437"/>
      <c r="AF38" s="2437"/>
      <c r="AG38" s="2437"/>
      <c r="AH38" s="2437"/>
      <c r="AI38" s="2438"/>
      <c r="AJ38" s="1497"/>
      <c r="BM38" s="230">
        <v>14</v>
      </c>
    </row>
    <row r="39" spans="4:65" ht="11.45" customHeight="1">
      <c r="D39" s="2443"/>
      <c r="E39" s="2439"/>
      <c r="F39" s="2439"/>
      <c r="G39" s="2446"/>
      <c r="H39" s="1524"/>
      <c r="I39" s="2442"/>
      <c r="J39" s="2413"/>
      <c r="K39" s="1506"/>
      <c r="L39" s="2398"/>
      <c r="M39" s="2398"/>
      <c r="N39" s="1518"/>
      <c r="O39" s="1518"/>
      <c r="P39" s="2437"/>
      <c r="Q39" s="2437"/>
      <c r="R39" s="2437"/>
      <c r="S39" s="2437"/>
      <c r="T39" s="2437"/>
      <c r="U39" s="2437"/>
      <c r="V39" s="2437"/>
      <c r="W39" s="2437"/>
      <c r="X39" s="2437"/>
      <c r="Y39" s="2437"/>
      <c r="Z39" s="2437"/>
      <c r="AA39" s="2437"/>
      <c r="AB39" s="2437"/>
      <c r="AC39" s="2437"/>
      <c r="AD39" s="2437"/>
      <c r="AE39" s="2437"/>
      <c r="AF39" s="2437"/>
      <c r="AG39" s="2437"/>
      <c r="AH39" s="2437"/>
      <c r="AI39" s="2438"/>
      <c r="AJ39" s="1497"/>
      <c r="BM39" s="230">
        <v>11</v>
      </c>
    </row>
    <row r="40" spans="4:65" s="1477" customFormat="1" ht="11.45" customHeight="1">
      <c r="D40" s="2443"/>
      <c r="E40" s="2439"/>
      <c r="F40" s="2444"/>
      <c r="G40" s="2375"/>
      <c r="H40" s="1521"/>
      <c r="I40" s="1525"/>
      <c r="J40" s="2447"/>
      <c r="K40" s="2447"/>
      <c r="L40" s="2447"/>
      <c r="M40" s="2447"/>
      <c r="N40" s="2447"/>
      <c r="O40" s="2447"/>
      <c r="P40" s="2447"/>
      <c r="Q40" s="2447"/>
      <c r="R40" s="2447"/>
      <c r="S40" s="2447"/>
      <c r="T40" s="2447"/>
      <c r="U40" s="2447"/>
      <c r="V40" s="2447"/>
      <c r="W40" s="2447"/>
      <c r="X40" s="2447"/>
      <c r="Y40" s="2447"/>
      <c r="Z40" s="2447"/>
      <c r="AA40" s="2447"/>
      <c r="AB40" s="2447"/>
      <c r="AC40" s="2447"/>
      <c r="AD40" s="2447"/>
      <c r="AE40" s="2447"/>
      <c r="AF40" s="2447"/>
      <c r="AG40" s="2447"/>
      <c r="AH40" s="2447"/>
      <c r="AI40" s="2448"/>
      <c r="AJ40" s="1497"/>
      <c r="AK40" s="243"/>
      <c r="AL40" s="1497"/>
      <c r="AM40" s="1497"/>
      <c r="AN40" s="1497"/>
      <c r="AO40" s="1497"/>
      <c r="AP40" s="1497"/>
      <c r="AQ40" s="1497"/>
      <c r="AR40" s="1497"/>
      <c r="AS40" s="1497"/>
      <c r="AT40" s="1497"/>
      <c r="AU40" s="1497"/>
      <c r="AV40" s="1497"/>
      <c r="AW40" s="1497"/>
      <c r="AX40" s="1497"/>
      <c r="AY40" s="1497"/>
      <c r="AZ40" s="1497"/>
      <c r="BA40" s="1497"/>
      <c r="BB40" s="1497"/>
      <c r="BC40" s="1497"/>
      <c r="BD40" s="1497"/>
      <c r="BE40" s="1497"/>
      <c r="BF40" s="1497"/>
      <c r="BG40" s="1497"/>
      <c r="BH40" s="1497"/>
      <c r="BI40" s="1497"/>
      <c r="BJ40" s="1497"/>
      <c r="BK40" s="1497"/>
      <c r="BL40" s="1497"/>
      <c r="BM40" s="1477">
        <v>11</v>
      </c>
    </row>
    <row r="41" spans="4:65" ht="11.45" customHeight="1">
      <c r="AK41" s="359"/>
      <c r="BM41" s="230">
        <v>11</v>
      </c>
    </row>
    <row r="42" spans="4:65" ht="11.45" customHeight="1">
      <c r="AK42" s="359"/>
      <c r="BM42" s="230">
        <v>11</v>
      </c>
    </row>
    <row r="43" spans="4:65" ht="11.45" customHeight="1">
      <c r="AK43" s="359"/>
      <c r="BM43" s="230">
        <v>11</v>
      </c>
    </row>
    <row r="44" spans="4:65" ht="11.45" customHeight="1">
      <c r="AK44" s="359"/>
      <c r="BM44" s="230">
        <v>11</v>
      </c>
    </row>
    <row r="45" spans="4:65" ht="11.45" customHeight="1">
      <c r="AK45" s="359"/>
      <c r="BM45" s="230">
        <v>11</v>
      </c>
    </row>
    <row r="46" spans="4:65" ht="11.45" customHeight="1">
      <c r="AK46" s="359"/>
      <c r="BM46" s="230">
        <v>11</v>
      </c>
    </row>
    <row r="47" spans="4:65" ht="11.45" customHeight="1">
      <c r="AK47" s="359"/>
      <c r="BM47" s="230">
        <v>11</v>
      </c>
    </row>
    <row r="48" spans="4:65" ht="11.45" customHeight="1">
      <c r="AK48" s="359"/>
      <c r="BM48" s="230">
        <v>11</v>
      </c>
    </row>
    <row r="49" spans="1:65" ht="11.45" customHeight="1">
      <c r="AK49" s="359"/>
      <c r="BM49" s="230">
        <v>11</v>
      </c>
    </row>
    <row r="50" spans="1:65" ht="11.25" hidden="1" customHeight="1">
      <c r="A50" s="230" t="s">
        <v>83</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59">
        <v>8</v>
      </c>
      <c r="AK50" s="243">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30">
        <v>11</v>
      </c>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67" customWidth="1"/>
    <col min="2" max="2" width="34.5703125" style="1767" customWidth="1"/>
    <col min="3" max="3" width="85" style="1767" customWidth="1"/>
    <col min="4" max="4" width="17" style="1767" customWidth="1"/>
    <col min="5" max="5" width="8" style="1767" customWidth="1"/>
    <col min="6" max="6" width="9.140625" style="1767" hidden="1"/>
  </cols>
  <sheetData>
    <row r="1" spans="1:6" ht="3" customHeight="1">
      <c r="F1" s="28" t="s">
        <v>14</v>
      </c>
    </row>
    <row r="2" spans="1:6" ht="22.5" customHeight="1">
      <c r="B2" s="2758" t="s">
        <v>2081</v>
      </c>
      <c r="C2" s="2758"/>
      <c r="D2" s="2758"/>
      <c r="E2" s="205"/>
      <c r="F2" s="28">
        <v>22</v>
      </c>
    </row>
    <row r="3" spans="1:6" ht="3" customHeight="1">
      <c r="F3" s="28">
        <v>3</v>
      </c>
    </row>
    <row r="4" spans="1:6" ht="23.25" customHeight="1">
      <c r="B4" s="2046" t="s">
        <v>2082</v>
      </c>
      <c r="C4" s="319" t="s">
        <v>2083</v>
      </c>
      <c r="D4" s="319" t="s">
        <v>2084</v>
      </c>
      <c r="F4" s="28">
        <v>22</v>
      </c>
    </row>
    <row r="5" spans="1:6" ht="11.25" hidden="1" customHeight="1">
      <c r="A5" s="28" t="s">
        <v>83</v>
      </c>
      <c r="B5" s="28">
        <v>34</v>
      </c>
      <c r="C5" s="28">
        <v>85</v>
      </c>
      <c r="D5" s="28">
        <v>17</v>
      </c>
      <c r="E5" s="28">
        <v>8</v>
      </c>
      <c r="F5" s="28">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67" customWidth="1"/>
    <col min="2" max="2" width="10" style="1767" customWidth="1"/>
    <col min="3" max="3" width="9.140625" style="1767"/>
    <col min="4" max="4" width="11.140625" style="1767" customWidth="1"/>
    <col min="5" max="5" width="16.5703125" style="1767" customWidth="1"/>
    <col min="6" max="6" width="16.28515625" style="1767" customWidth="1"/>
    <col min="7" max="7" width="19.140625" style="1767" customWidth="1"/>
    <col min="8" max="11" width="10" style="1767" customWidth="1"/>
    <col min="12" max="12" width="12.7109375" style="1767" customWidth="1"/>
    <col min="13" max="13" width="61.28515625" style="1767" customWidth="1"/>
    <col min="14" max="14" width="10" style="1767" customWidth="1"/>
    <col min="15" max="17" width="23.7109375" style="1767" customWidth="1"/>
    <col min="18" max="18" width="11.7109375" style="1767" customWidth="1"/>
    <col min="19" max="19" width="8.5703125" style="1767" customWidth="1"/>
    <col min="20" max="20" width="11.7109375" style="1767" customWidth="1"/>
    <col min="21" max="21" width="8.5703125" style="1767" customWidth="1"/>
    <col min="22" max="22" width="4.7109375" style="1767" customWidth="1"/>
    <col min="23" max="23" width="115.7109375" style="1767" customWidth="1"/>
    <col min="24" max="24" width="115.28515625" style="1767" customWidth="1"/>
    <col min="25" max="27" width="9.140625" style="1767"/>
    <col min="28" max="28" width="115.7109375" style="1767" customWidth="1"/>
    <col min="29" max="29" width="9.140625" style="1767"/>
    <col min="30" max="90" width="115.7109375" style="1767" customWidth="1"/>
    <col min="91" max="184" width="9.140625" style="1767"/>
  </cols>
  <sheetData>
    <row r="2" spans="1:80" s="1735" customFormat="1" ht="17.25" customHeight="1">
      <c r="A2" s="1735" t="s">
        <v>2085</v>
      </c>
    </row>
    <row r="4" spans="1:80" s="201" customFormat="1" ht="15" customHeight="1">
      <c r="C4" s="1736"/>
      <c r="D4" s="52"/>
      <c r="E4" s="313"/>
    </row>
    <row r="6" spans="1:80" s="1735" customFormat="1" ht="17.25" customHeight="1">
      <c r="A6" s="1735" t="s">
        <v>2086</v>
      </c>
    </row>
    <row r="8" spans="1:80" s="201" customFormat="1" ht="17.25" customHeight="1">
      <c r="C8" s="1737"/>
      <c r="D8" s="52"/>
      <c r="E8" s="53"/>
    </row>
    <row r="11" spans="1:80" s="1735" customFormat="1" ht="17.25" customHeight="1">
      <c r="A11" s="1735" t="s">
        <v>2087</v>
      </c>
    </row>
    <row r="13" spans="1:80" s="1739" customFormat="1" ht="15" customHeight="1">
      <c r="A13" s="2354">
        <v>1</v>
      </c>
      <c r="B13" s="1083"/>
      <c r="C13" s="730" t="s">
        <v>104</v>
      </c>
      <c r="D13" s="1738"/>
      <c r="E13" s="1725">
        <f>A13</f>
        <v>1</v>
      </c>
      <c r="F13" s="733"/>
      <c r="G13" s="476" t="str">
        <f>"Территория "&amp;E13</f>
        <v>Территория 1</v>
      </c>
      <c r="H13" s="721"/>
      <c r="I13" s="721"/>
      <c r="J13" s="718"/>
      <c r="K13" s="1547"/>
      <c r="L13" s="1547"/>
      <c r="M13" s="1547"/>
      <c r="N13" s="163"/>
      <c r="O13" s="1547"/>
      <c r="P13" s="162"/>
      <c r="Q13" s="162"/>
      <c r="R13" s="162"/>
      <c r="S13" s="162"/>
    </row>
    <row r="14" spans="1:80" s="1767" customFormat="1" ht="15" customHeight="1">
      <c r="A14" s="2354"/>
      <c r="B14" s="1083">
        <v>1</v>
      </c>
      <c r="C14" s="1083"/>
      <c r="D14" s="729"/>
      <c r="E14" s="1733" t="str">
        <f>A13&amp;"."&amp;B14</f>
        <v>1.1</v>
      </c>
      <c r="F14" s="732">
        <f>$F$20</f>
        <v>0</v>
      </c>
      <c r="G14" s="722"/>
      <c r="H14" s="722"/>
      <c r="I14" s="720"/>
      <c r="J14" s="1547"/>
      <c r="K14" s="1559"/>
      <c r="L14" s="1559"/>
      <c r="M14" s="1547" t="str">
        <f t="array" ref="M14">IF(ISERROR(MATCH(MID(N14,1,250),MID(note_ter,1,250),0)),"n","y")</f>
        <v>n</v>
      </c>
      <c r="N14" s="1559"/>
      <c r="O14" s="1547" t="str">
        <f>H14&amp;"("&amp;I14&amp;")"</f>
        <v>()</v>
      </c>
      <c r="P14" s="1083"/>
      <c r="Q14" s="1083"/>
      <c r="R14" s="356"/>
      <c r="S14" s="1083"/>
      <c r="T14" s="1083"/>
      <c r="U14" s="1083"/>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67" customFormat="1" ht="15" customHeight="1">
      <c r="A15" s="2354"/>
      <c r="B15" s="1083"/>
      <c r="C15" s="348"/>
      <c r="D15" s="730"/>
      <c r="E15" s="357"/>
      <c r="F15" s="114"/>
      <c r="G15" s="351" t="s">
        <v>112</v>
      </c>
      <c r="H15" s="124"/>
      <c r="I15" s="360"/>
      <c r="J15" s="1559"/>
      <c r="K15" s="1559"/>
      <c r="L15" s="1559"/>
      <c r="M15" s="1559"/>
      <c r="N15" s="1547"/>
      <c r="O15" s="1559"/>
      <c r="P15" s="1083"/>
      <c r="Q15" s="1083"/>
      <c r="R15" s="356"/>
      <c r="S15" s="1083"/>
      <c r="T15" s="1083"/>
      <c r="U15" s="1083"/>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35" customFormat="1" ht="17.25" customHeight="1">
      <c r="A17" s="1735" t="s">
        <v>2088</v>
      </c>
    </row>
    <row r="19" spans="1:80" s="1767" customFormat="1" ht="15" customHeight="1">
      <c r="A19" s="1799"/>
      <c r="B19" s="1289">
        <v>1</v>
      </c>
      <c r="C19" s="1289"/>
      <c r="D19" s="729" t="s">
        <v>104</v>
      </c>
      <c r="E19" s="1795"/>
      <c r="F19" s="1800">
        <f>$F$20</f>
        <v>0</v>
      </c>
      <c r="G19" s="1804"/>
      <c r="H19" s="1804"/>
      <c r="I19" s="1802"/>
      <c r="J19" s="1547"/>
      <c r="K19" s="1559"/>
      <c r="L19" s="1559"/>
      <c r="M19" s="1547" t="str">
        <f t="array" ref="M19">IF(ISERROR(MATCH(MID(N19,1,250),MID(note_ter,1,250),0)),"n","y")</f>
        <v>n</v>
      </c>
      <c r="N19" s="1559"/>
      <c r="O19" s="1547" t="str">
        <f>H19&amp;"("&amp;I19&amp;")"</f>
        <v>()</v>
      </c>
      <c r="P19" s="1289"/>
      <c r="Q19" s="1289"/>
      <c r="R19" s="356"/>
      <c r="S19" s="1289"/>
      <c r="T19" s="1289"/>
      <c r="U19" s="1289"/>
      <c r="V19" s="762"/>
      <c r="W19" s="762"/>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2"/>
      <c r="BT19" s="762"/>
      <c r="BU19" s="762"/>
      <c r="BV19" s="762"/>
      <c r="BW19" s="762"/>
      <c r="BX19" s="762"/>
      <c r="BY19" s="762"/>
      <c r="BZ19" s="762"/>
      <c r="CA19" s="762"/>
      <c r="CB19" s="762"/>
    </row>
    <row r="21" spans="1:80" s="1767" customFormat="1" ht="15" customHeight="1">
      <c r="A21" s="1735" t="s">
        <v>2089</v>
      </c>
      <c r="B21" s="1735"/>
      <c r="C21" s="1735"/>
      <c r="D21" s="1735"/>
      <c r="E21" s="1735"/>
      <c r="F21" s="1735"/>
      <c r="G21" s="1735"/>
      <c r="H21" s="1735"/>
      <c r="I21" s="1735"/>
      <c r="J21" s="1735"/>
      <c r="K21" s="1735"/>
      <c r="L21" s="1735"/>
      <c r="M21" s="1735"/>
      <c r="N21" s="1735"/>
      <c r="O21" s="1735"/>
      <c r="P21" s="1735"/>
      <c r="Q21" s="1735"/>
      <c r="R21" s="1735"/>
      <c r="S21" s="1735"/>
      <c r="T21" s="1735"/>
      <c r="U21" s="121"/>
      <c r="V21" s="1735"/>
      <c r="W21" s="1735"/>
    </row>
    <row r="22" spans="1:80" s="1767" customFormat="1" ht="15" customHeight="1">
      <c r="U22" s="122"/>
    </row>
    <row r="23" spans="1:80" s="1770" customFormat="1" ht="15" customHeight="1">
      <c r="A23" s="359"/>
      <c r="B23" s="359"/>
      <c r="C23" s="1649" t="s">
        <v>104</v>
      </c>
      <c r="D23" s="2365" t="s">
        <v>100</v>
      </c>
      <c r="E23" s="2366"/>
      <c r="F23" s="2360" t="s">
        <v>19</v>
      </c>
      <c r="G23" s="2369"/>
      <c r="H23" s="2371">
        <v>1</v>
      </c>
      <c r="I23" s="2777" t="str">
        <f>IF(U23="","",INDEX(TERRITORY_MR_LIST,MATCH(U23,TERRITORY_LIST_ID,0)))</f>
        <v/>
      </c>
      <c r="J23" s="2360" t="s">
        <v>19</v>
      </c>
      <c r="K23" s="761"/>
      <c r="L23" s="1702" t="s">
        <v>100</v>
      </c>
      <c r="M23" s="539"/>
      <c r="N23" s="540"/>
      <c r="O23" s="540"/>
      <c r="P23" s="540"/>
      <c r="Q23" s="540"/>
      <c r="R23" s="540"/>
      <c r="S23" s="540"/>
      <c r="T23" s="540"/>
      <c r="U23" s="541"/>
      <c r="V23" s="540"/>
      <c r="W23" s="540"/>
      <c r="X23" s="531"/>
      <c r="Y23" s="531" t="s">
        <v>131</v>
      </c>
      <c r="Z23" s="531">
        <v>1705000</v>
      </c>
      <c r="AA23" s="531"/>
      <c r="AB23" s="531"/>
      <c r="AC23" s="531"/>
      <c r="AD23" s="531"/>
      <c r="AE23" s="531"/>
      <c r="AF23" s="531"/>
      <c r="AG23" s="531"/>
      <c r="AH23" s="531"/>
      <c r="AI23" s="531"/>
      <c r="AJ23" s="531"/>
      <c r="AK23" s="531"/>
      <c r="AL23" s="531"/>
    </row>
    <row r="24" spans="1:80" s="1770" customFormat="1" ht="15" customHeight="1">
      <c r="A24" s="359"/>
      <c r="B24" s="359"/>
      <c r="C24" s="113"/>
      <c r="D24" s="2365"/>
      <c r="E24" s="2367"/>
      <c r="F24" s="2360"/>
      <c r="G24" s="2370"/>
      <c r="H24" s="2371"/>
      <c r="I24" s="2778"/>
      <c r="J24" s="2360"/>
      <c r="K24" s="357"/>
      <c r="L24" s="114"/>
      <c r="M24" s="543" t="s">
        <v>132</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0" customFormat="1" ht="15" customHeight="1">
      <c r="A25" s="359"/>
      <c r="B25" s="359"/>
      <c r="C25" s="113"/>
      <c r="D25" s="2365"/>
      <c r="E25" s="2368"/>
      <c r="F25" s="2360"/>
      <c r="G25" s="357"/>
      <c r="H25" s="114"/>
      <c r="I25" s="516" t="s">
        <v>134</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67" customFormat="1" ht="15" customHeight="1">
      <c r="U26" s="122"/>
    </row>
    <row r="27" spans="1:80" s="1767" customFormat="1" ht="15" customHeight="1">
      <c r="A27" s="1735" t="s">
        <v>2090</v>
      </c>
      <c r="B27" s="1735"/>
      <c r="C27" s="1735"/>
      <c r="D27" s="1735"/>
      <c r="E27" s="1735"/>
      <c r="F27" s="1735"/>
      <c r="G27" s="1735"/>
      <c r="H27" s="1735"/>
      <c r="I27" s="1735"/>
      <c r="J27" s="1735"/>
      <c r="K27" s="1735"/>
      <c r="L27" s="1735"/>
      <c r="M27" s="1735"/>
      <c r="N27" s="1735"/>
      <c r="O27" s="1735"/>
      <c r="P27" s="1735"/>
      <c r="Q27" s="1735"/>
      <c r="R27" s="1735"/>
      <c r="S27" s="1735"/>
      <c r="T27" s="1735"/>
      <c r="U27" s="121"/>
      <c r="V27" s="1735"/>
      <c r="W27" s="1735"/>
    </row>
    <row r="28" spans="1:80" s="1767" customFormat="1" ht="15" customHeight="1">
      <c r="U28" s="122"/>
    </row>
    <row r="29" spans="1:80" s="1770" customFormat="1" ht="15" customHeight="1">
      <c r="A29" s="359"/>
      <c r="B29" s="359"/>
      <c r="C29" s="113"/>
      <c r="D29" s="1740"/>
      <c r="E29" s="1740"/>
      <c r="F29" s="1740"/>
      <c r="G29" s="2363" t="s">
        <v>104</v>
      </c>
      <c r="H29" s="2349">
        <v>1</v>
      </c>
      <c r="I29" s="2364" t="str">
        <f>IF(U29="","",INDEX(TERRITORY_MR_LIST,MATCH(U29,TERRITORY_LIST_ID,0)))</f>
        <v/>
      </c>
      <c r="J29" s="2360" t="s">
        <v>19</v>
      </c>
      <c r="K29" s="761"/>
      <c r="L29" s="1702" t="s">
        <v>100</v>
      </c>
      <c r="M29" s="539"/>
      <c r="N29" s="540"/>
      <c r="O29" s="540"/>
      <c r="P29" s="540"/>
      <c r="Q29" s="540"/>
      <c r="R29" s="540"/>
      <c r="S29" s="540"/>
      <c r="T29" s="540"/>
      <c r="U29" s="541"/>
      <c r="V29" s="540"/>
      <c r="W29" s="540"/>
      <c r="X29" s="531"/>
      <c r="Y29" s="531" t="s">
        <v>131</v>
      </c>
      <c r="Z29" s="531">
        <v>1705000</v>
      </c>
      <c r="AA29" s="531"/>
      <c r="AB29" s="531"/>
      <c r="AC29" s="531"/>
      <c r="AD29" s="531"/>
      <c r="AE29" s="531"/>
      <c r="AF29" s="531"/>
      <c r="AG29" s="531"/>
      <c r="AH29" s="531"/>
      <c r="AI29" s="531"/>
      <c r="AJ29" s="531"/>
      <c r="AK29" s="531"/>
      <c r="AL29" s="531"/>
    </row>
    <row r="30" spans="1:80" s="1770" customFormat="1" ht="15" customHeight="1">
      <c r="A30" s="359"/>
      <c r="B30" s="359"/>
      <c r="C30" s="113"/>
      <c r="D30" s="1740"/>
      <c r="E30" s="1740"/>
      <c r="F30" s="1740"/>
      <c r="G30" s="2363"/>
      <c r="H30" s="2349"/>
      <c r="I30" s="2364"/>
      <c r="J30" s="2360"/>
      <c r="K30" s="357"/>
      <c r="L30" s="114"/>
      <c r="M30" s="543" t="s">
        <v>132</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67" customFormat="1" ht="15" customHeight="1">
      <c r="U31" s="122"/>
    </row>
    <row r="32" spans="1:80" s="1767" customFormat="1" ht="15" customHeight="1">
      <c r="A32" s="1735" t="s">
        <v>2091</v>
      </c>
      <c r="B32" s="1735"/>
      <c r="C32" s="1735"/>
      <c r="D32" s="1735"/>
      <c r="E32" s="1735"/>
      <c r="F32" s="1735"/>
      <c r="G32" s="1735"/>
      <c r="H32" s="1735"/>
      <c r="I32" s="1735"/>
      <c r="J32" s="1735"/>
      <c r="K32" s="1735"/>
      <c r="L32" s="1735"/>
      <c r="M32" s="1735"/>
      <c r="N32" s="1735"/>
      <c r="O32" s="1735"/>
      <c r="P32" s="1735"/>
      <c r="Q32" s="1735"/>
      <c r="R32" s="1735"/>
      <c r="S32" s="1735"/>
      <c r="T32" s="1735"/>
      <c r="U32" s="121"/>
      <c r="V32" s="1735"/>
      <c r="W32" s="1735"/>
    </row>
    <row r="33" spans="1:38" s="1767" customFormat="1" ht="15" customHeight="1">
      <c r="U33" s="122"/>
    </row>
    <row r="34" spans="1:38" s="1770" customFormat="1" ht="15" customHeight="1">
      <c r="A34" s="359"/>
      <c r="B34" s="359"/>
      <c r="C34" s="113"/>
      <c r="D34" s="1740"/>
      <c r="E34" s="1740"/>
      <c r="F34" s="1740"/>
      <c r="G34" s="1740"/>
      <c r="H34" s="1740"/>
      <c r="I34" s="1740"/>
      <c r="J34" s="1740"/>
      <c r="K34" s="1719" t="s">
        <v>104</v>
      </c>
      <c r="L34" s="1650" t="s">
        <v>100</v>
      </c>
      <c r="M34" s="740"/>
      <c r="N34" s="741"/>
      <c r="O34" s="540"/>
      <c r="P34" s="540"/>
      <c r="Q34" s="540"/>
      <c r="R34" s="540"/>
      <c r="S34" s="540"/>
      <c r="T34" s="540"/>
      <c r="U34" s="541"/>
      <c r="V34" s="540"/>
      <c r="W34" s="540"/>
      <c r="X34" s="531"/>
      <c r="Y34" s="531" t="s">
        <v>131</v>
      </c>
      <c r="Z34" s="531">
        <v>1705000</v>
      </c>
      <c r="AA34" s="531"/>
      <c r="AB34" s="531"/>
      <c r="AC34" s="531"/>
      <c r="AD34" s="531"/>
      <c r="AE34" s="531"/>
      <c r="AF34" s="531"/>
      <c r="AG34" s="531"/>
      <c r="AH34" s="531"/>
      <c r="AI34" s="531"/>
      <c r="AJ34" s="531"/>
      <c r="AK34" s="531"/>
      <c r="AL34" s="531"/>
    </row>
    <row r="35" spans="1:38" s="1767" customFormat="1" ht="15" customHeight="1">
      <c r="U35" s="122"/>
    </row>
    <row r="36" spans="1:38" s="1767" customFormat="1" ht="15" customHeight="1">
      <c r="U36" s="122"/>
    </row>
    <row r="37" spans="1:38" s="1735" customFormat="1" ht="11.25" customHeight="1">
      <c r="A37" s="1735" t="s">
        <v>2092</v>
      </c>
    </row>
    <row r="38" spans="1:38" ht="11.25" customHeight="1"/>
    <row r="39" spans="1:38" s="391" customFormat="1" ht="22.5" customHeight="1">
      <c r="A39" s="1711"/>
      <c r="B39" s="393"/>
      <c r="C39" s="788"/>
      <c r="D39" s="376"/>
      <c r="E39" s="789"/>
      <c r="F39" s="1732"/>
      <c r="G39" s="1741"/>
      <c r="H39" s="411"/>
    </row>
    <row r="40" spans="1:38" ht="11.25" customHeight="1"/>
    <row r="41" spans="1:38" s="1735" customFormat="1" ht="11.25" customHeight="1">
      <c r="A41" s="1735" t="s">
        <v>2093</v>
      </c>
    </row>
    <row r="42" spans="1:38" ht="11.25" customHeight="1"/>
    <row r="43" spans="1:38" s="391" customFormat="1" ht="22.5" customHeight="1">
      <c r="A43" s="393"/>
      <c r="B43" s="393"/>
      <c r="C43" s="393"/>
      <c r="D43" s="376"/>
      <c r="E43" s="789"/>
      <c r="F43" s="790"/>
      <c r="G43" s="1741"/>
      <c r="H43" s="411"/>
    </row>
    <row r="44" spans="1:38" ht="11.25" customHeight="1"/>
    <row r="45" spans="1:38" s="1735" customFormat="1" ht="11.25" customHeight="1">
      <c r="A45" s="1735" t="s">
        <v>2094</v>
      </c>
    </row>
    <row r="46" spans="1:38" ht="11.25" customHeight="1"/>
    <row r="47" spans="1:38" s="391" customFormat="1" ht="24" customHeight="1">
      <c r="A47" s="2459" t="s">
        <v>332</v>
      </c>
      <c r="B47" s="438"/>
      <c r="C47" s="2470"/>
      <c r="D47" s="381" t="str">
        <f>A47</f>
        <v>5.1</v>
      </c>
      <c r="E47" s="378" t="s">
        <v>333</v>
      </c>
      <c r="F47" s="1890" t="s">
        <v>325</v>
      </c>
      <c r="G47" s="380" t="s">
        <v>334</v>
      </c>
      <c r="H47" s="411"/>
      <c r="I47" s="781"/>
    </row>
    <row r="48" spans="1:38" s="391" customFormat="1" ht="22.5" customHeight="1">
      <c r="A48" s="2459"/>
      <c r="B48" s="438"/>
      <c r="C48" s="2470"/>
      <c r="D48" s="376" t="str">
        <f>D47&amp;".1"</f>
        <v>5.1.1</v>
      </c>
      <c r="E48" s="375" t="s">
        <v>335</v>
      </c>
      <c r="F48" s="1891" t="s">
        <v>22</v>
      </c>
      <c r="G48" s="410"/>
      <c r="H48" s="411"/>
      <c r="I48" s="781"/>
    </row>
    <row r="49" spans="1:45" s="391" customFormat="1" ht="22.5" customHeight="1">
      <c r="A49" s="2459"/>
      <c r="B49" s="438"/>
      <c r="C49" s="2470"/>
      <c r="D49" s="376" t="str">
        <f>D47&amp;".2"</f>
        <v>5.1.2</v>
      </c>
      <c r="E49" s="375" t="s">
        <v>336</v>
      </c>
      <c r="F49" s="1653" t="s">
        <v>22</v>
      </c>
      <c r="G49" s="380" t="s">
        <v>337</v>
      </c>
      <c r="H49" s="411"/>
      <c r="I49" s="781"/>
    </row>
    <row r="50" spans="1:45" s="391" customFormat="1" ht="22.5" customHeight="1">
      <c r="A50" s="2459"/>
      <c r="B50" s="438"/>
      <c r="C50" s="2470"/>
      <c r="D50" s="376" t="str">
        <f>D47&amp;".3"</f>
        <v>5.1.3</v>
      </c>
      <c r="E50" s="375" t="s">
        <v>338</v>
      </c>
      <c r="F50" s="1891" t="s">
        <v>22</v>
      </c>
      <c r="G50" s="410"/>
      <c r="H50" s="411"/>
      <c r="I50" s="781"/>
    </row>
    <row r="51" spans="1:45" s="391" customFormat="1" ht="22.5" customHeight="1">
      <c r="A51" s="2459"/>
      <c r="B51" s="438"/>
      <c r="C51" s="2470"/>
      <c r="D51" s="376" t="str">
        <f>D47&amp;".4"</f>
        <v>5.1.4</v>
      </c>
      <c r="E51" s="375" t="s">
        <v>339</v>
      </c>
      <c r="F51" s="1891" t="s">
        <v>22</v>
      </c>
      <c r="G51" s="380" t="s">
        <v>340</v>
      </c>
      <c r="H51" s="411"/>
      <c r="I51" s="781"/>
    </row>
    <row r="54" spans="1:45" s="1735" customFormat="1" ht="17.25" customHeight="1">
      <c r="A54" s="1735" t="s">
        <v>2095</v>
      </c>
    </row>
    <row r="56" spans="1:45" s="1535" customFormat="1" ht="18.75" customHeight="1">
      <c r="A56" s="28"/>
      <c r="B56" s="1742"/>
      <c r="C56" s="1742"/>
      <c r="D56" s="1743"/>
      <c r="E56" s="1729"/>
      <c r="F56" s="797">
        <v>13</v>
      </c>
      <c r="G56" s="796"/>
      <c r="H56" s="722"/>
      <c r="I56" s="720"/>
      <c r="J56" s="456" t="s">
        <v>19</v>
      </c>
      <c r="K56" s="2323" t="s">
        <v>22</v>
      </c>
      <c r="L56" s="28"/>
      <c r="M56" s="1559"/>
      <c r="N56" s="1559"/>
      <c r="O56" s="1559"/>
      <c r="P56" s="452" t="s">
        <v>411</v>
      </c>
      <c r="Q56" s="452" t="s">
        <v>412</v>
      </c>
      <c r="R56" s="453" t="s">
        <v>413</v>
      </c>
      <c r="S56" s="1559" t="s">
        <v>414</v>
      </c>
      <c r="T56" s="1559"/>
      <c r="U56" s="1559"/>
      <c r="V56" s="1559"/>
    </row>
    <row r="58" spans="1:45" s="1735" customFormat="1" ht="11.25" customHeight="1">
      <c r="A58" s="1735" t="s">
        <v>2096</v>
      </c>
    </row>
    <row r="60" spans="1:45" s="1558" customFormat="1" ht="14.25" customHeight="1">
      <c r="C60" s="1610"/>
      <c r="D60" s="1786"/>
      <c r="E60" s="1697" t="s">
        <v>22</v>
      </c>
      <c r="F60" s="1785"/>
      <c r="G60" s="785"/>
      <c r="H60" s="1698"/>
      <c r="I60" s="1698"/>
      <c r="J60" s="369"/>
      <c r="K60" s="1780"/>
      <c r="L60" s="368"/>
      <c r="M60" s="1780"/>
      <c r="N60" s="369"/>
      <c r="O60" s="1780"/>
      <c r="P60" s="369"/>
      <c r="Q60" s="1780"/>
      <c r="R60" s="369"/>
      <c r="S60" s="783"/>
      <c r="T60" s="1698"/>
      <c r="U60" s="369"/>
      <c r="V60" s="369"/>
      <c r="W60" s="1784"/>
      <c r="X60" s="1698"/>
      <c r="Y60" s="369"/>
      <c r="Z60" s="369"/>
      <c r="AA60" s="1784"/>
      <c r="AB60" s="1698"/>
      <c r="AC60" s="369"/>
      <c r="AD60" s="1784"/>
      <c r="AE60" s="28"/>
      <c r="AF60" s="28"/>
      <c r="AG60" s="28"/>
      <c r="AH60" s="28"/>
      <c r="AJ60" s="1559"/>
      <c r="AK60" s="1559"/>
      <c r="AL60" s="1559"/>
      <c r="AM60" s="1559"/>
      <c r="AN60" s="1559"/>
      <c r="AO60" s="1559"/>
      <c r="AP60" s="1547" t="s">
        <v>400</v>
      </c>
      <c r="AQ60" s="1547" t="s">
        <v>400</v>
      </c>
      <c r="AR60" s="1559"/>
      <c r="AS60" s="1559"/>
    </row>
    <row r="62" spans="1:45" s="1735" customFormat="1" ht="11.25" customHeight="1">
      <c r="A62" s="1735" t="s">
        <v>2097</v>
      </c>
    </row>
    <row r="64" spans="1:45" s="1742" customFormat="1" ht="15" customHeight="1">
      <c r="A64" s="82" t="s">
        <v>91</v>
      </c>
      <c r="B64" s="64" t="s">
        <v>22</v>
      </c>
      <c r="C64" s="1745"/>
      <c r="D64" s="67"/>
      <c r="E64" s="317"/>
      <c r="F64" s="317"/>
      <c r="G64" s="1723"/>
      <c r="H64" s="1744"/>
      <c r="I64" s="1724"/>
      <c r="K64" s="209"/>
      <c r="L64" s="210"/>
    </row>
    <row r="66" spans="1:30" s="1735" customFormat="1" ht="11.25" customHeight="1">
      <c r="A66" s="1735" t="s">
        <v>2098</v>
      </c>
    </row>
    <row r="68" spans="1:30" s="1558" customFormat="1" ht="14.25" customHeight="1">
      <c r="A68" s="280"/>
      <c r="B68" s="1083"/>
      <c r="C68" s="312"/>
      <c r="D68" s="1730"/>
      <c r="E68" s="814"/>
      <c r="F68" s="1744"/>
      <c r="G68" s="28"/>
      <c r="I68" s="1547"/>
      <c r="J68" s="1547"/>
    </row>
    <row r="70" spans="1:30" s="1735" customFormat="1" ht="11.25" customHeight="1">
      <c r="A70" s="1735" t="s">
        <v>2099</v>
      </c>
    </row>
    <row r="72" spans="1:30" s="1558" customFormat="1" ht="27" customHeight="1">
      <c r="A72" s="1089"/>
      <c r="B72" s="1089"/>
      <c r="C72" s="1089"/>
      <c r="D72" s="1083"/>
      <c r="E72" s="1746"/>
      <c r="F72" s="2645"/>
      <c r="G72" s="2646"/>
      <c r="H72" s="2647" t="s">
        <v>63</v>
      </c>
      <c r="I72" s="2649"/>
      <c r="J72" s="2641"/>
      <c r="K72" s="2636"/>
      <c r="L72" s="2637"/>
      <c r="M72" s="2637"/>
      <c r="N72" s="2643"/>
      <c r="O72" s="2643"/>
      <c r="P72" s="2644" t="e">
        <f>DATEDIF(DATEVALUE(N72),DATEVALUE(O72),"y")&amp;"г. "&amp;DATEDIF(DATEVALUE(N72),DATEVALUE(O72),"ym")&amp;"мес. "&amp;DATEVALUE(O72)-DATE(YEAR(DATEVALUE(O72)),MONTH(DATEVALUE(O72)),1)&amp;"дн. "</f>
        <v>#VALUE!</v>
      </c>
      <c r="Q72" s="2638"/>
      <c r="R72" s="2638"/>
      <c r="S72" s="2638"/>
      <c r="T72" s="2641"/>
      <c r="U72" s="2638"/>
      <c r="V72" s="2638"/>
      <c r="W72" s="2638"/>
      <c r="X72" s="2641"/>
      <c r="Y72" s="2639" t="s">
        <v>63</v>
      </c>
      <c r="Z72" s="1728"/>
      <c r="AA72" s="1712">
        <v>1</v>
      </c>
      <c r="AB72" s="1165"/>
      <c r="AD72" s="1559" t="s">
        <v>2100</v>
      </c>
    </row>
    <row r="73" spans="1:30" s="1558" customFormat="1" ht="10.5" customHeight="1">
      <c r="A73" s="1089"/>
      <c r="B73" s="1089"/>
      <c r="C73" s="1089"/>
      <c r="D73" s="1083"/>
      <c r="E73" s="875"/>
      <c r="F73" s="2645"/>
      <c r="G73" s="2646"/>
      <c r="H73" s="2648"/>
      <c r="I73" s="2650"/>
      <c r="J73" s="2642"/>
      <c r="K73" s="2636"/>
      <c r="L73" s="2637"/>
      <c r="M73" s="2637"/>
      <c r="N73" s="2643"/>
      <c r="O73" s="2643"/>
      <c r="P73" s="2644"/>
      <c r="Q73" s="2638"/>
      <c r="R73" s="2638"/>
      <c r="S73" s="2638"/>
      <c r="T73" s="2642"/>
      <c r="U73" s="2638"/>
      <c r="V73" s="2638"/>
      <c r="W73" s="2638"/>
      <c r="X73" s="2642"/>
      <c r="Y73" s="2640"/>
      <c r="Z73" s="284"/>
      <c r="AA73" s="508"/>
      <c r="AB73" s="588" t="s">
        <v>1162</v>
      </c>
    </row>
    <row r="75" spans="1:30" s="1735" customFormat="1" ht="11.25" customHeight="1">
      <c r="A75" s="1735" t="s">
        <v>2101</v>
      </c>
    </row>
    <row r="77" spans="1:30" s="1558" customFormat="1" ht="27" customHeight="1">
      <c r="A77" s="1089"/>
      <c r="B77" s="1089"/>
      <c r="C77" s="1089"/>
      <c r="D77" s="1083"/>
      <c r="E77" s="1746"/>
      <c r="F77" s="1717"/>
      <c r="G77" s="1668"/>
      <c r="H77" s="1669"/>
      <c r="I77" s="1670"/>
      <c r="J77" s="1671"/>
      <c r="K77" s="1672"/>
      <c r="L77" s="1673"/>
      <c r="M77" s="1673"/>
      <c r="N77" s="1674"/>
      <c r="O77" s="1674"/>
      <c r="P77" s="1675"/>
      <c r="Q77" s="1676"/>
      <c r="R77" s="1676"/>
      <c r="S77" s="1676"/>
      <c r="T77" s="1671"/>
      <c r="U77" s="1676"/>
      <c r="V77" s="1676"/>
      <c r="W77" s="1676"/>
      <c r="X77" s="1671"/>
      <c r="Y77" s="1669"/>
      <c r="Z77" s="1728"/>
      <c r="AA77" s="1712">
        <v>1</v>
      </c>
      <c r="AB77" s="1165"/>
      <c r="AD77" s="1559" t="s">
        <v>2100</v>
      </c>
    </row>
    <row r="79" spans="1:30" s="1735" customFormat="1" ht="11.25" customHeight="1">
      <c r="A79" s="1735" t="s">
        <v>2102</v>
      </c>
    </row>
    <row r="80" spans="1:30" ht="17.25" customHeight="1"/>
    <row r="81" spans="1:58" s="1558" customFormat="1" ht="21" customHeight="1">
      <c r="A81" s="1090"/>
      <c r="B81" s="1089"/>
      <c r="C81" s="1089"/>
      <c r="D81" s="1083"/>
      <c r="E81" s="1093"/>
      <c r="F81" s="1046" t="e">
        <f>INDEX(IP_MAIN_LIST_NAME_IP,MATCH(A81,IP_MAIN_LIST_IP_ID,0))&amp;" ("&amp;INDEX(IP_MAIN_START_DATE,MATCH(A81,IP_MAIN_LIST_IP_ID,0))&amp;"-"&amp;INDEX(IP_MAIN_END_DATE,MATCH(A81,IP_MAIN_LIST_IP_ID,0))&amp;")"</f>
        <v>#N/A</v>
      </c>
      <c r="G81" s="1047"/>
      <c r="H81" s="1047"/>
      <c r="I81" s="1108"/>
      <c r="J81" s="1108"/>
      <c r="K81" s="1109"/>
      <c r="L81" s="1109"/>
      <c r="M81" s="1109"/>
      <c r="N81" s="1110"/>
      <c r="O81" s="1110"/>
      <c r="P81" s="1110"/>
      <c r="Q81" s="1110"/>
      <c r="R81" s="1110"/>
      <c r="S81" s="1110"/>
      <c r="T81" s="1110"/>
      <c r="U81" s="1110"/>
      <c r="V81" s="1110"/>
      <c r="W81" s="1110"/>
      <c r="X81" s="1110"/>
      <c r="Y81" s="1110"/>
      <c r="Z81" s="1110"/>
      <c r="AA81" s="1110"/>
      <c r="AB81" s="1110"/>
      <c r="AC81" s="1110"/>
      <c r="AD81" s="1110"/>
      <c r="AE81" s="1111"/>
      <c r="AF81" s="1109"/>
      <c r="AG81" s="1109"/>
      <c r="AH81" s="1109"/>
      <c r="AI81" s="1109"/>
      <c r="AJ81" s="1109"/>
      <c r="AK81" s="1109"/>
      <c r="AL81" s="1902"/>
      <c r="AM81" s="1742"/>
      <c r="AN81" s="1742"/>
      <c r="AO81" s="1742"/>
      <c r="AP81" s="1742"/>
      <c r="AQ81" s="1742"/>
      <c r="AR81" s="1742"/>
      <c r="AS81" s="1742"/>
      <c r="AT81" s="1742"/>
      <c r="AU81" s="1742"/>
      <c r="AV81" s="1742"/>
      <c r="AW81" s="1742"/>
      <c r="AX81" s="1742"/>
      <c r="AY81" s="1742"/>
      <c r="AZ81" s="1742"/>
      <c r="BA81" s="1742"/>
      <c r="BB81" s="1742"/>
      <c r="BC81" s="1742"/>
      <c r="BD81" s="1742"/>
      <c r="BE81" s="1742"/>
      <c r="BF81" s="1742"/>
    </row>
    <row r="82" spans="1:58" s="1558" customFormat="1" ht="0.75" customHeight="1">
      <c r="A82" s="1089"/>
      <c r="B82" s="1089"/>
      <c r="C82" s="1089"/>
      <c r="D82" s="1083"/>
      <c r="E82" s="1093"/>
      <c r="F82" s="2674"/>
      <c r="G82" s="2604"/>
      <c r="H82" s="2679" t="s">
        <v>395</v>
      </c>
      <c r="I82" s="2680"/>
      <c r="J82" s="2678"/>
      <c r="K82" s="2678"/>
      <c r="L82" s="2677"/>
      <c r="M82" s="2512"/>
      <c r="N82" s="1950"/>
      <c r="O82" s="1949"/>
      <c r="P82" s="1950"/>
      <c r="Q82" s="1950"/>
      <c r="R82" s="1950"/>
      <c r="S82" s="1950"/>
      <c r="T82" s="1950"/>
      <c r="U82" s="1950"/>
      <c r="V82" s="1950"/>
      <c r="W82" s="1950"/>
      <c r="X82" s="1950"/>
      <c r="Y82" s="1950"/>
      <c r="Z82" s="1950"/>
      <c r="AA82" s="1950"/>
      <c r="AB82" s="1950"/>
      <c r="AC82" s="1950"/>
      <c r="AD82" s="1950"/>
      <c r="AE82" s="1950"/>
      <c r="AF82" s="2676"/>
      <c r="AG82" s="2677"/>
      <c r="AH82" s="2677"/>
      <c r="AI82" s="2676"/>
      <c r="AJ82" s="2677"/>
      <c r="AK82" s="2677"/>
      <c r="AL82" s="1902"/>
      <c r="AM82" s="1742"/>
      <c r="AN82" s="1742"/>
      <c r="AO82" s="1742"/>
      <c r="AP82" s="1742"/>
      <c r="AQ82" s="1742"/>
      <c r="AR82" s="1742"/>
      <c r="AS82" s="1742"/>
      <c r="AT82" s="1742"/>
      <c r="AU82" s="1742"/>
      <c r="AV82" s="1742"/>
      <c r="AW82" s="1742"/>
      <c r="AX82" s="1742"/>
      <c r="AY82" s="1742"/>
      <c r="AZ82" s="1742"/>
      <c r="BA82" s="1742"/>
      <c r="BB82" s="1742"/>
      <c r="BC82" s="1742"/>
      <c r="BD82" s="1742"/>
      <c r="BE82" s="1742"/>
      <c r="BF82" s="1742"/>
    </row>
    <row r="83" spans="1:58" s="1558" customFormat="1" ht="0.75" customHeight="1">
      <c r="A83" s="1089"/>
      <c r="B83" s="1089"/>
      <c r="C83" s="1089"/>
      <c r="D83" s="1083"/>
      <c r="E83" s="1093"/>
      <c r="F83" s="2674"/>
      <c r="G83" s="2604"/>
      <c r="H83" s="2679"/>
      <c r="I83" s="2680"/>
      <c r="J83" s="2678"/>
      <c r="K83" s="2678"/>
      <c r="L83" s="2677"/>
      <c r="M83" s="2512"/>
      <c r="N83" s="2681"/>
      <c r="O83" s="2682"/>
      <c r="P83" s="2683"/>
      <c r="Q83" s="2678"/>
      <c r="R83" s="2678"/>
      <c r="S83" s="2678"/>
      <c r="T83" s="2678"/>
      <c r="U83" s="2678"/>
      <c r="V83" s="2678"/>
      <c r="W83" s="2678"/>
      <c r="X83" s="2678"/>
      <c r="Y83" s="2678"/>
      <c r="Z83" s="1951"/>
      <c r="AA83" s="1952"/>
      <c r="AB83" s="1952"/>
      <c r="AC83" s="1953"/>
      <c r="AD83" s="1953"/>
      <c r="AE83" s="1954"/>
      <c r="AF83" s="2676"/>
      <c r="AG83" s="2677"/>
      <c r="AH83" s="2677"/>
      <c r="AI83" s="2676"/>
      <c r="AJ83" s="2677"/>
      <c r="AK83" s="2677"/>
      <c r="AL83" s="1902"/>
      <c r="AM83" s="1742"/>
      <c r="AN83" s="1742"/>
      <c r="AO83" s="1742"/>
      <c r="AP83" s="1742"/>
      <c r="AQ83" s="1742"/>
      <c r="AR83" s="1742"/>
      <c r="AS83" s="1742"/>
      <c r="AT83" s="1742"/>
      <c r="AU83" s="1742"/>
      <c r="AV83" s="1742"/>
      <c r="AW83" s="1742"/>
      <c r="AX83" s="1742"/>
      <c r="AY83" s="1742"/>
      <c r="AZ83" s="1742"/>
      <c r="BA83" s="1742"/>
      <c r="BB83" s="1742"/>
      <c r="BC83" s="1742"/>
      <c r="BD83" s="1742"/>
      <c r="BE83" s="1742"/>
      <c r="BF83" s="1742"/>
    </row>
    <row r="84" spans="1:58" s="1558" customFormat="1" ht="0.75" customHeight="1">
      <c r="A84" s="1089"/>
      <c r="B84" s="1089"/>
      <c r="C84" s="1089"/>
      <c r="D84" s="1083"/>
      <c r="E84" s="1093"/>
      <c r="F84" s="2674"/>
      <c r="G84" s="2604"/>
      <c r="H84" s="2679"/>
      <c r="I84" s="2680"/>
      <c r="J84" s="2678"/>
      <c r="K84" s="2678"/>
      <c r="L84" s="2677"/>
      <c r="M84" s="2512"/>
      <c r="N84" s="2681"/>
      <c r="O84" s="2682"/>
      <c r="P84" s="2684"/>
      <c r="Q84" s="2678"/>
      <c r="R84" s="2678"/>
      <c r="S84" s="2678"/>
      <c r="T84" s="2678"/>
      <c r="U84" s="2678"/>
      <c r="V84" s="2678"/>
      <c r="W84" s="2678"/>
      <c r="X84" s="2678"/>
      <c r="Y84" s="2678"/>
      <c r="Z84" s="1955"/>
      <c r="AA84" s="1956"/>
      <c r="AB84" s="1957"/>
      <c r="AC84" s="1958"/>
      <c r="AD84" s="1957"/>
      <c r="AE84" s="1958"/>
      <c r="AF84" s="2676"/>
      <c r="AG84" s="2677"/>
      <c r="AH84" s="2677"/>
      <c r="AI84" s="2676"/>
      <c r="AJ84" s="2677"/>
      <c r="AK84" s="2677"/>
      <c r="AL84" s="1902"/>
      <c r="AM84" s="1742"/>
      <c r="AN84" s="1742"/>
      <c r="AO84" s="1742"/>
      <c r="AP84" s="1742"/>
      <c r="AQ84" s="1742"/>
      <c r="AR84" s="1742"/>
      <c r="AS84" s="1742"/>
      <c r="AT84" s="1742"/>
      <c r="AU84" s="1742"/>
      <c r="AV84" s="1742"/>
      <c r="AW84" s="1742"/>
      <c r="AX84" s="1742"/>
      <c r="AY84" s="1742"/>
      <c r="AZ84" s="1742"/>
      <c r="BA84" s="1742"/>
      <c r="BB84" s="1742"/>
      <c r="BC84" s="1742"/>
      <c r="BD84" s="1742"/>
      <c r="BE84" s="1742"/>
      <c r="BF84" s="1742"/>
    </row>
    <row r="85" spans="1:58" s="1558" customFormat="1" ht="0.75" customHeight="1">
      <c r="A85" s="1089"/>
      <c r="B85" s="1089"/>
      <c r="C85" s="1089"/>
      <c r="D85" s="1083"/>
      <c r="E85" s="1093"/>
      <c r="F85" s="2674"/>
      <c r="G85" s="2604"/>
      <c r="H85" s="2679"/>
      <c r="I85" s="2680"/>
      <c r="J85" s="2678"/>
      <c r="K85" s="2678"/>
      <c r="L85" s="2677"/>
      <c r="M85" s="2512"/>
      <c r="N85" s="2681"/>
      <c r="O85" s="2682"/>
      <c r="P85" s="2685"/>
      <c r="Q85" s="2678"/>
      <c r="R85" s="2678"/>
      <c r="S85" s="2678"/>
      <c r="T85" s="2678"/>
      <c r="U85" s="2678"/>
      <c r="V85" s="2678"/>
      <c r="W85" s="2678"/>
      <c r="X85" s="2678"/>
      <c r="Y85" s="2678"/>
      <c r="Z85" s="1951"/>
      <c r="AA85" s="1952"/>
      <c r="AB85" s="1959"/>
      <c r="AC85" s="1953"/>
      <c r="AD85" s="1953"/>
      <c r="AE85" s="1960"/>
      <c r="AF85" s="2676"/>
      <c r="AG85" s="2677"/>
      <c r="AH85" s="2677"/>
      <c r="AI85" s="2676"/>
      <c r="AJ85" s="2677"/>
      <c r="AK85" s="2677"/>
      <c r="AL85" s="1902"/>
      <c r="AM85" s="1742"/>
      <c r="AN85" s="1742"/>
      <c r="AO85" s="1742"/>
      <c r="AP85" s="1742"/>
      <c r="AQ85" s="1742"/>
      <c r="AR85" s="1742"/>
      <c r="AS85" s="1742"/>
      <c r="AT85" s="1742"/>
      <c r="AU85" s="1742"/>
      <c r="AV85" s="1742"/>
      <c r="AW85" s="1742"/>
      <c r="AX85" s="1742"/>
      <c r="AY85" s="1742"/>
      <c r="AZ85" s="1742"/>
      <c r="BA85" s="1742"/>
      <c r="BB85" s="1742"/>
      <c r="BC85" s="1742"/>
      <c r="BD85" s="1742"/>
      <c r="BE85" s="1742"/>
      <c r="BF85" s="1742"/>
    </row>
    <row r="86" spans="1:58" s="1558" customFormat="1" ht="0.75" customHeight="1">
      <c r="A86" s="1089"/>
      <c r="B86" s="1089"/>
      <c r="C86" s="1089"/>
      <c r="D86" s="1083"/>
      <c r="E86" s="1093"/>
      <c r="F86" s="2674"/>
      <c r="G86" s="2604"/>
      <c r="H86" s="2679"/>
      <c r="I86" s="2680"/>
      <c r="J86" s="2678"/>
      <c r="K86" s="2678"/>
      <c r="L86" s="2677"/>
      <c r="M86" s="2512"/>
      <c r="N86" s="1952"/>
      <c r="O86" s="1952"/>
      <c r="P86" s="1959"/>
      <c r="Q86" s="1952"/>
      <c r="R86" s="1952"/>
      <c r="S86" s="1952"/>
      <c r="T86" s="1952"/>
      <c r="U86" s="1952"/>
      <c r="V86" s="1952"/>
      <c r="W86" s="1952"/>
      <c r="X86" s="1952"/>
      <c r="Y86" s="1952"/>
      <c r="Z86" s="1952"/>
      <c r="AA86" s="1952"/>
      <c r="AB86" s="1952"/>
      <c r="AC86" s="1952"/>
      <c r="AD86" s="1952"/>
      <c r="AE86" s="1961"/>
      <c r="AF86" s="2676"/>
      <c r="AG86" s="2677"/>
      <c r="AH86" s="2677"/>
      <c r="AI86" s="2676"/>
      <c r="AJ86" s="2677"/>
      <c r="AK86" s="2677"/>
      <c r="AL86" s="1902"/>
      <c r="AM86" s="1742"/>
      <c r="AN86" s="1742"/>
      <c r="AO86" s="1742"/>
      <c r="AP86" s="1742"/>
      <c r="AQ86" s="1742"/>
      <c r="AR86" s="1742"/>
      <c r="AS86" s="1742"/>
      <c r="AT86" s="1742"/>
      <c r="AU86" s="1742"/>
      <c r="AV86" s="1742"/>
      <c r="AW86" s="1742"/>
      <c r="AX86" s="1742"/>
      <c r="AY86" s="1742"/>
      <c r="AZ86" s="1742"/>
      <c r="BA86" s="1742"/>
      <c r="BB86" s="1742"/>
      <c r="BC86" s="1742"/>
      <c r="BD86" s="1742"/>
      <c r="BE86" s="1742"/>
      <c r="BF86" s="1742"/>
    </row>
    <row r="87" spans="1:58" s="1558" customFormat="1" ht="12" customHeight="1">
      <c r="A87" s="1089"/>
      <c r="B87" s="1089"/>
      <c r="C87" s="1089"/>
      <c r="D87" s="1083"/>
      <c r="E87" s="1093"/>
      <c r="F87" s="2675"/>
      <c r="G87" s="1113"/>
      <c r="H87" s="1113"/>
      <c r="I87" s="2673" t="s">
        <v>1193</v>
      </c>
      <c r="J87" s="2673"/>
      <c r="K87" s="2673"/>
      <c r="L87" s="1096"/>
      <c r="M87" s="1096"/>
      <c r="N87" s="1097"/>
      <c r="O87" s="1097"/>
      <c r="P87" s="1097"/>
      <c r="Q87" s="1097"/>
      <c r="R87" s="1097"/>
      <c r="S87" s="1097"/>
      <c r="T87" s="1097"/>
      <c r="U87" s="1097"/>
      <c r="V87" s="1097"/>
      <c r="W87" s="1097"/>
      <c r="X87" s="1097"/>
      <c r="Y87" s="1097"/>
      <c r="Z87" s="1097"/>
      <c r="AA87" s="1097"/>
      <c r="AB87" s="1097"/>
      <c r="AC87" s="1097"/>
      <c r="AD87" s="1097"/>
      <c r="AE87" s="1097"/>
      <c r="AF87" s="1097"/>
      <c r="AG87" s="1096"/>
      <c r="AH87" s="1096"/>
      <c r="AI87" s="1097"/>
      <c r="AJ87" s="1096"/>
      <c r="AK87" s="1097"/>
      <c r="AL87" s="1902"/>
      <c r="AM87" s="1742"/>
      <c r="AN87" s="1742"/>
      <c r="AO87" s="1742"/>
      <c r="AP87" s="1742"/>
      <c r="AQ87" s="1742"/>
      <c r="AR87" s="1742"/>
      <c r="AS87" s="1742"/>
      <c r="AT87" s="1742"/>
      <c r="AU87" s="1742"/>
      <c r="AV87" s="1742"/>
      <c r="AW87" s="1742"/>
      <c r="AX87" s="1742"/>
      <c r="AY87" s="1742"/>
      <c r="AZ87" s="1742"/>
      <c r="BA87" s="1742"/>
      <c r="BB87" s="1742"/>
      <c r="BC87" s="1742"/>
      <c r="BD87" s="1742"/>
      <c r="BE87" s="1742"/>
      <c r="BF87" s="1742"/>
    </row>
    <row r="89" spans="1:58" s="1735" customFormat="1" ht="11.25" customHeight="1">
      <c r="A89" s="1735" t="s">
        <v>2103</v>
      </c>
    </row>
    <row r="91" spans="1:58" s="1558" customFormat="1" ht="11.25" customHeight="1">
      <c r="A91" s="1089"/>
      <c r="B91" s="1089"/>
      <c r="C91" s="1089"/>
      <c r="D91" s="1083"/>
      <c r="E91" s="1093"/>
      <c r="F91" s="1748"/>
      <c r="G91" s="1749"/>
      <c r="H91" s="1749"/>
      <c r="I91" s="1685"/>
      <c r="J91" s="1685"/>
      <c r="K91" s="1750"/>
      <c r="L91" s="1685"/>
      <c r="M91" s="1749"/>
      <c r="N91" s="2661"/>
      <c r="O91" s="2779">
        <v>1</v>
      </c>
      <c r="P91" s="2663" t="s">
        <v>19</v>
      </c>
      <c r="Q91" s="2653" t="s">
        <v>22</v>
      </c>
      <c r="R91" s="2653" t="s">
        <v>22</v>
      </c>
      <c r="S91" s="2653" t="s">
        <v>22</v>
      </c>
      <c r="T91" s="2653" t="s">
        <v>22</v>
      </c>
      <c r="U91" s="2653" t="s">
        <v>22</v>
      </c>
      <c r="V91" s="2653" t="s">
        <v>22</v>
      </c>
      <c r="W91" s="2653" t="s">
        <v>22</v>
      </c>
      <c r="X91" s="2653" t="s">
        <v>22</v>
      </c>
      <c r="Y91" s="2653"/>
      <c r="Z91" s="1098"/>
      <c r="AA91" s="1099"/>
      <c r="AB91" s="1099"/>
      <c r="AC91" s="1103"/>
      <c r="AD91" s="1103"/>
      <c r="AE91" s="1103"/>
      <c r="AF91" s="2004"/>
      <c r="AG91" s="1680"/>
      <c r="AH91" s="1680"/>
      <c r="AI91" s="2004"/>
      <c r="AJ91" s="1680"/>
      <c r="AK91" s="1901"/>
      <c r="AL91" s="1902"/>
      <c r="AM91" s="1742"/>
      <c r="AN91" s="1742"/>
      <c r="AO91" s="1742"/>
      <c r="AP91" s="1742"/>
      <c r="AQ91" s="1742"/>
      <c r="AR91" s="1742"/>
      <c r="AS91" s="1742"/>
      <c r="AT91" s="1742"/>
      <c r="AU91" s="1742"/>
      <c r="AV91" s="1742"/>
      <c r="AW91" s="1742"/>
      <c r="AX91" s="1742"/>
      <c r="AY91" s="1742"/>
      <c r="AZ91" s="1742"/>
      <c r="BA91" s="1742"/>
      <c r="BB91" s="1742"/>
      <c r="BC91" s="1742"/>
      <c r="BD91" s="1742"/>
      <c r="BE91" s="1742"/>
      <c r="BF91" s="1742"/>
    </row>
    <row r="92" spans="1:58" s="1558" customFormat="1" ht="11.25" customHeight="1">
      <c r="A92" s="1089"/>
      <c r="B92" s="1089"/>
      <c r="C92" s="1089"/>
      <c r="D92" s="1083"/>
      <c r="E92" s="1093"/>
      <c r="F92" s="1748"/>
      <c r="G92" s="1749"/>
      <c r="H92" s="1749"/>
      <c r="I92" s="1686"/>
      <c r="J92" s="1686"/>
      <c r="K92" s="1750"/>
      <c r="L92" s="1686"/>
      <c r="M92" s="1749"/>
      <c r="N92" s="2661"/>
      <c r="O92" s="2779"/>
      <c r="P92" s="2664"/>
      <c r="Q92" s="2653"/>
      <c r="R92" s="2653"/>
      <c r="S92" s="2666"/>
      <c r="T92" s="2653"/>
      <c r="U92" s="2653"/>
      <c r="V92" s="2653"/>
      <c r="W92" s="2653"/>
      <c r="X92" s="2653"/>
      <c r="Y92" s="2653"/>
      <c r="Z92" s="1747"/>
      <c r="AA92" s="1714">
        <v>1</v>
      </c>
      <c r="AB92" s="1102"/>
      <c r="AC92" s="1092"/>
      <c r="AD92" s="1102">
        <f>AB92</f>
        <v>0</v>
      </c>
      <c r="AE92" s="660"/>
      <c r="AF92" s="2005"/>
      <c r="AG92" s="1680"/>
      <c r="AH92" s="1680"/>
      <c r="AI92" s="2005"/>
      <c r="AJ92" s="1680"/>
      <c r="AK92" s="1901"/>
      <c r="AL92" s="1902"/>
      <c r="AM92" s="1742"/>
      <c r="AN92" s="1742"/>
      <c r="AO92" s="1742"/>
      <c r="AP92" s="1742"/>
      <c r="AQ92" s="1742"/>
      <c r="AR92" s="1742"/>
      <c r="AS92" s="1742"/>
      <c r="AT92" s="1742"/>
      <c r="AU92" s="1742"/>
      <c r="AV92" s="1742"/>
      <c r="AW92" s="1742"/>
      <c r="AX92" s="1742"/>
      <c r="AY92" s="1742"/>
      <c r="AZ92" s="1742"/>
      <c r="BA92" s="1742"/>
      <c r="BB92" s="1742"/>
      <c r="BC92" s="1742"/>
      <c r="BD92" s="1742"/>
      <c r="BE92" s="1742"/>
      <c r="BF92" s="1742"/>
    </row>
    <row r="93" spans="1:58" s="1558" customFormat="1" ht="11.25" customHeight="1">
      <c r="A93" s="1089"/>
      <c r="B93" s="1089"/>
      <c r="C93" s="1089"/>
      <c r="D93" s="1083"/>
      <c r="E93" s="1093"/>
      <c r="F93" s="1748"/>
      <c r="G93" s="1749"/>
      <c r="H93" s="1749"/>
      <c r="I93" s="1687"/>
      <c r="J93" s="1687"/>
      <c r="K93" s="1750"/>
      <c r="L93" s="1687"/>
      <c r="M93" s="1749"/>
      <c r="N93" s="2661"/>
      <c r="O93" s="2779"/>
      <c r="P93" s="2665"/>
      <c r="Q93" s="2653"/>
      <c r="R93" s="2653"/>
      <c r="S93" s="2666"/>
      <c r="T93" s="2653"/>
      <c r="U93" s="2653"/>
      <c r="V93" s="2653"/>
      <c r="W93" s="2653"/>
      <c r="X93" s="2653"/>
      <c r="Y93" s="2653"/>
      <c r="Z93" s="1098"/>
      <c r="AA93" s="1099"/>
      <c r="AB93" s="1164" t="s">
        <v>1202</v>
      </c>
      <c r="AC93" s="1103"/>
      <c r="AD93" s="1103"/>
      <c r="AE93" s="1103"/>
      <c r="AF93" s="2006"/>
      <c r="AG93" s="1680"/>
      <c r="AH93" s="1680"/>
      <c r="AI93" s="2006"/>
      <c r="AJ93" s="1680"/>
      <c r="AK93" s="1901"/>
      <c r="AL93" s="1902"/>
      <c r="AM93" s="1742"/>
      <c r="AN93" s="1742"/>
      <c r="AO93" s="1742"/>
      <c r="AP93" s="1742"/>
      <c r="AQ93" s="1742"/>
      <c r="AR93" s="1742"/>
      <c r="AS93" s="1742"/>
      <c r="AT93" s="1742"/>
      <c r="AU93" s="1742"/>
      <c r="AV93" s="1742"/>
      <c r="AW93" s="1742"/>
      <c r="AX93" s="1742"/>
      <c r="AY93" s="1742"/>
      <c r="AZ93" s="1742"/>
      <c r="BA93" s="1742"/>
      <c r="BB93" s="1742"/>
      <c r="BC93" s="1742"/>
      <c r="BD93" s="1742"/>
      <c r="BE93" s="1742"/>
      <c r="BF93" s="1742"/>
    </row>
    <row r="95" spans="1:58" s="1735" customFormat="1" ht="11.25" customHeight="1">
      <c r="A95" s="1735" t="s">
        <v>2104</v>
      </c>
    </row>
    <row r="97" spans="1:184" s="1558" customFormat="1" ht="11.25" customHeight="1">
      <c r="A97" s="1089"/>
      <c r="B97" s="1089"/>
      <c r="C97" s="1089"/>
      <c r="D97" s="1083"/>
      <c r="E97" s="1093"/>
      <c r="F97" s="1749"/>
      <c r="G97" s="1749"/>
      <c r="H97" s="1749"/>
      <c r="I97" s="1749"/>
      <c r="J97" s="1749"/>
      <c r="K97" s="1749"/>
      <c r="L97" s="1749"/>
      <c r="M97" s="1749"/>
      <c r="N97" s="1749"/>
      <c r="O97" s="1749"/>
      <c r="P97" s="1749"/>
      <c r="Q97" s="1749"/>
      <c r="R97" s="1749"/>
      <c r="S97" s="1749"/>
      <c r="T97" s="1749"/>
      <c r="U97" s="1749"/>
      <c r="V97" s="1749"/>
      <c r="W97" s="1749"/>
      <c r="X97" s="1749"/>
      <c r="Y97" s="1749"/>
      <c r="Z97" s="1751"/>
      <c r="AA97" s="1734">
        <v>1</v>
      </c>
      <c r="AB97" s="1102"/>
      <c r="AC97" s="1092"/>
      <c r="AD97" s="1102">
        <f>AB97</f>
        <v>0</v>
      </c>
      <c r="AE97" s="1092"/>
      <c r="AF97" s="2003"/>
      <c r="AG97" s="1680"/>
      <c r="AH97" s="1680"/>
      <c r="AI97" s="2003"/>
      <c r="AJ97" s="1680"/>
      <c r="AK97" s="1901"/>
      <c r="AL97" s="1902"/>
      <c r="AM97" s="1742"/>
      <c r="AN97" s="1742"/>
      <c r="AO97" s="1742"/>
      <c r="AP97" s="1742"/>
      <c r="AQ97" s="1742"/>
      <c r="AR97" s="1742"/>
      <c r="AS97" s="1742"/>
      <c r="AT97" s="1742"/>
      <c r="AU97" s="1742"/>
      <c r="AV97" s="1742"/>
      <c r="AW97" s="1742"/>
      <c r="AX97" s="1742"/>
      <c r="AY97" s="1742"/>
      <c r="AZ97" s="1742"/>
      <c r="BA97" s="1742"/>
      <c r="BB97" s="1742"/>
      <c r="BC97" s="1742"/>
      <c r="BD97" s="1742"/>
      <c r="BE97" s="1742"/>
      <c r="BF97" s="1742"/>
    </row>
    <row r="99" spans="1:184" s="1735" customFormat="1" ht="11.25" customHeight="1">
      <c r="A99" s="1735" t="s">
        <v>2105</v>
      </c>
    </row>
    <row r="101" spans="1:184" s="1558" customFormat="1" ht="11.25" customHeight="1">
      <c r="A101" s="1089"/>
      <c r="B101" s="1089"/>
      <c r="C101" s="1089"/>
      <c r="D101" s="1083"/>
      <c r="E101" s="1093"/>
      <c r="F101" s="1748"/>
      <c r="G101" s="1749"/>
      <c r="H101" s="2604" t="s">
        <v>100</v>
      </c>
      <c r="I101" s="2667"/>
      <c r="J101" s="2672"/>
      <c r="K101" s="2669"/>
      <c r="L101" s="2360" t="s">
        <v>19</v>
      </c>
      <c r="M101" s="2365"/>
      <c r="N101" s="1900"/>
      <c r="O101" s="1100" t="s">
        <v>395</v>
      </c>
      <c r="P101" s="1101"/>
      <c r="Q101" s="1101"/>
      <c r="R101" s="1101"/>
      <c r="S101" s="1101"/>
      <c r="T101" s="1101"/>
      <c r="U101" s="1101"/>
      <c r="V101" s="1101"/>
      <c r="W101" s="1101"/>
      <c r="X101" s="1101"/>
      <c r="Y101" s="1101"/>
      <c r="Z101" s="1101"/>
      <c r="AA101" s="1101"/>
      <c r="AB101" s="1101"/>
      <c r="AC101" s="1101"/>
      <c r="AD101" s="1101"/>
      <c r="AE101" s="1101"/>
      <c r="AF101" s="2670"/>
      <c r="AG101" s="2656"/>
      <c r="AH101" s="2656"/>
      <c r="AI101" s="2670"/>
      <c r="AJ101" s="2656"/>
      <c r="AK101" s="2656"/>
      <c r="AL101" s="1902"/>
      <c r="AM101" s="1742"/>
      <c r="AN101" s="1742"/>
      <c r="AO101" s="1742"/>
      <c r="AP101" s="1742"/>
      <c r="AQ101" s="1742"/>
      <c r="AR101" s="1742"/>
      <c r="AS101" s="1742"/>
      <c r="AT101" s="1742"/>
      <c r="AU101" s="1742"/>
      <c r="AV101" s="1742"/>
      <c r="AW101" s="1742"/>
      <c r="AX101" s="1742"/>
      <c r="AY101" s="1742"/>
      <c r="AZ101" s="1742"/>
      <c r="BA101" s="1742"/>
      <c r="BB101" s="1742"/>
      <c r="BC101" s="1742"/>
      <c r="BD101" s="1742"/>
      <c r="BE101" s="1742"/>
      <c r="BF101" s="1742"/>
    </row>
    <row r="102" spans="1:184" s="1558" customFormat="1" ht="11.25" customHeight="1">
      <c r="A102" s="1089"/>
      <c r="B102" s="1089"/>
      <c r="C102" s="1089"/>
      <c r="D102" s="1083"/>
      <c r="E102" s="1093"/>
      <c r="F102" s="1748"/>
      <c r="G102" s="1749"/>
      <c r="H102" s="2604"/>
      <c r="I102" s="2667"/>
      <c r="J102" s="2672"/>
      <c r="K102" s="2669"/>
      <c r="L102" s="2360"/>
      <c r="M102" s="2365"/>
      <c r="N102" s="2661"/>
      <c r="O102" s="2662">
        <v>1</v>
      </c>
      <c r="P102" s="2663" t="s">
        <v>19</v>
      </c>
      <c r="Q102" s="2653" t="s">
        <v>22</v>
      </c>
      <c r="R102" s="2653" t="s">
        <v>22</v>
      </c>
      <c r="S102" s="2653" t="s">
        <v>22</v>
      </c>
      <c r="T102" s="2653" t="s">
        <v>22</v>
      </c>
      <c r="U102" s="2653" t="s">
        <v>22</v>
      </c>
      <c r="V102" s="2653" t="s">
        <v>22</v>
      </c>
      <c r="W102" s="2653" t="s">
        <v>22</v>
      </c>
      <c r="X102" s="2653" t="s">
        <v>22</v>
      </c>
      <c r="Y102" s="2653"/>
      <c r="Z102" s="1098"/>
      <c r="AA102" s="1099"/>
      <c r="AB102" s="1099"/>
      <c r="AC102" s="1103"/>
      <c r="AD102" s="1103"/>
      <c r="AE102" s="1104"/>
      <c r="AF102" s="2670"/>
      <c r="AG102" s="2656"/>
      <c r="AH102" s="2656"/>
      <c r="AI102" s="2670"/>
      <c r="AJ102" s="2656"/>
      <c r="AK102" s="2656"/>
      <c r="AL102" s="1902"/>
      <c r="AM102" s="1742"/>
      <c r="AN102" s="1742"/>
      <c r="AO102" s="1742"/>
      <c r="AP102" s="1742"/>
      <c r="AQ102" s="1742"/>
      <c r="AR102" s="1742"/>
      <c r="AS102" s="1742"/>
      <c r="AT102" s="1742"/>
      <c r="AU102" s="1742"/>
      <c r="AV102" s="1742"/>
      <c r="AW102" s="1742"/>
      <c r="AX102" s="1742"/>
      <c r="AY102" s="1742"/>
      <c r="AZ102" s="1742"/>
      <c r="BA102" s="1742"/>
      <c r="BB102" s="1742"/>
      <c r="BC102" s="1742"/>
      <c r="BD102" s="1742"/>
      <c r="BE102" s="1742"/>
      <c r="BF102" s="1742"/>
    </row>
    <row r="103" spans="1:184" s="1558" customFormat="1" ht="11.25" customHeight="1">
      <c r="A103" s="1089"/>
      <c r="B103" s="1089"/>
      <c r="C103" s="1089"/>
      <c r="D103" s="1083"/>
      <c r="E103" s="1093"/>
      <c r="F103" s="1748"/>
      <c r="G103" s="1749"/>
      <c r="H103" s="2604"/>
      <c r="I103" s="2667"/>
      <c r="J103" s="2672"/>
      <c r="K103" s="2669"/>
      <c r="L103" s="2360"/>
      <c r="M103" s="2365"/>
      <c r="N103" s="2661"/>
      <c r="O103" s="2662"/>
      <c r="P103" s="2664"/>
      <c r="Q103" s="2653"/>
      <c r="R103" s="2653"/>
      <c r="S103" s="2666"/>
      <c r="T103" s="2653"/>
      <c r="U103" s="2653"/>
      <c r="V103" s="2653"/>
      <c r="W103" s="2653"/>
      <c r="X103" s="2653"/>
      <c r="Y103" s="2653"/>
      <c r="Z103" s="1747"/>
      <c r="AA103" s="1714">
        <v>1</v>
      </c>
      <c r="AB103" s="1102"/>
      <c r="AC103" s="1092"/>
      <c r="AD103" s="1102">
        <f>AB103</f>
        <v>0</v>
      </c>
      <c r="AE103" s="1092"/>
      <c r="AF103" s="2670"/>
      <c r="AG103" s="2656"/>
      <c r="AH103" s="2656"/>
      <c r="AI103" s="2670"/>
      <c r="AJ103" s="2656"/>
      <c r="AK103" s="2656"/>
      <c r="AL103" s="1902"/>
      <c r="AM103" s="1742"/>
      <c r="AN103" s="1742"/>
      <c r="AO103" s="1742"/>
      <c r="AP103" s="1742"/>
      <c r="AQ103" s="1742"/>
      <c r="AR103" s="1742"/>
      <c r="AS103" s="1742"/>
      <c r="AT103" s="1742"/>
      <c r="AU103" s="1742"/>
      <c r="AV103" s="1742"/>
      <c r="AW103" s="1742"/>
      <c r="AX103" s="1742"/>
      <c r="AY103" s="1742"/>
      <c r="AZ103" s="1742"/>
      <c r="BA103" s="1742"/>
      <c r="BB103" s="1742"/>
      <c r="BC103" s="1742"/>
      <c r="BD103" s="1742"/>
      <c r="BE103" s="1742"/>
      <c r="BF103" s="1742"/>
    </row>
    <row r="104" spans="1:184" s="1558" customFormat="1" ht="11.25" customHeight="1">
      <c r="A104" s="1089"/>
      <c r="B104" s="1089"/>
      <c r="C104" s="1089"/>
      <c r="D104" s="1083"/>
      <c r="E104" s="1093"/>
      <c r="F104" s="1748"/>
      <c r="G104" s="1749"/>
      <c r="H104" s="2604"/>
      <c r="I104" s="2667"/>
      <c r="J104" s="2672"/>
      <c r="K104" s="2669"/>
      <c r="L104" s="2360"/>
      <c r="M104" s="2365"/>
      <c r="N104" s="2661"/>
      <c r="O104" s="2662"/>
      <c r="P104" s="2665"/>
      <c r="Q104" s="2653"/>
      <c r="R104" s="2653"/>
      <c r="S104" s="2666"/>
      <c r="T104" s="2653"/>
      <c r="U104" s="2653"/>
      <c r="V104" s="2653"/>
      <c r="W104" s="2653"/>
      <c r="X104" s="2653"/>
      <c r="Y104" s="2653"/>
      <c r="Z104" s="1098"/>
      <c r="AA104" s="1099"/>
      <c r="AB104" s="1164" t="s">
        <v>1202</v>
      </c>
      <c r="AC104" s="1103"/>
      <c r="AD104" s="1103"/>
      <c r="AE104" s="1105"/>
      <c r="AF104" s="2670"/>
      <c r="AG104" s="2656"/>
      <c r="AH104" s="2656"/>
      <c r="AI104" s="2670"/>
      <c r="AJ104" s="2656"/>
      <c r="AK104" s="2656"/>
      <c r="AL104" s="1902"/>
      <c r="AM104" s="1742"/>
      <c r="AN104" s="1742"/>
      <c r="AO104" s="1742"/>
      <c r="AP104" s="1742"/>
      <c r="AQ104" s="1742"/>
      <c r="AR104" s="1742"/>
      <c r="AS104" s="1742"/>
      <c r="AT104" s="1742"/>
      <c r="AU104" s="1742"/>
      <c r="AV104" s="1742"/>
      <c r="AW104" s="1742"/>
      <c r="AX104" s="1742"/>
      <c r="AY104" s="1742"/>
      <c r="AZ104" s="1742"/>
      <c r="BA104" s="1742"/>
      <c r="BB104" s="1742"/>
      <c r="BC104" s="1742"/>
      <c r="BD104" s="1742"/>
      <c r="BE104" s="1742"/>
      <c r="BF104" s="1742"/>
    </row>
    <row r="105" spans="1:184" s="1558" customFormat="1" ht="11.25" customHeight="1">
      <c r="A105" s="1089"/>
      <c r="B105" s="1089"/>
      <c r="C105" s="1089"/>
      <c r="D105" s="1083"/>
      <c r="E105" s="1093"/>
      <c r="F105" s="1748"/>
      <c r="G105" s="1749"/>
      <c r="H105" s="2604"/>
      <c r="I105" s="2667"/>
      <c r="J105" s="2672"/>
      <c r="K105" s="2669"/>
      <c r="L105" s="2360"/>
      <c r="M105" s="2365"/>
      <c r="N105" s="1098"/>
      <c r="O105" s="1099"/>
      <c r="P105" s="1091" t="s">
        <v>1203</v>
      </c>
      <c r="Q105" s="1099"/>
      <c r="R105" s="1099"/>
      <c r="S105" s="1099"/>
      <c r="T105" s="1099"/>
      <c r="U105" s="1099"/>
      <c r="V105" s="1099"/>
      <c r="W105" s="1099"/>
      <c r="X105" s="1099"/>
      <c r="Y105" s="1099"/>
      <c r="Z105" s="1099"/>
      <c r="AA105" s="1099"/>
      <c r="AB105" s="1099"/>
      <c r="AC105" s="1099"/>
      <c r="AD105" s="1099"/>
      <c r="AE105" s="1106"/>
      <c r="AF105" s="2670"/>
      <c r="AG105" s="2656"/>
      <c r="AH105" s="2656"/>
      <c r="AI105" s="2670"/>
      <c r="AJ105" s="2656"/>
      <c r="AK105" s="2656"/>
      <c r="AL105" s="1902"/>
      <c r="AM105" s="1742"/>
      <c r="AN105" s="1742"/>
      <c r="AO105" s="1742"/>
      <c r="AP105" s="1742"/>
      <c r="AQ105" s="1742"/>
      <c r="AR105" s="1742"/>
      <c r="AS105" s="1742"/>
      <c r="AT105" s="1742"/>
      <c r="AU105" s="1742"/>
      <c r="AV105" s="1742"/>
      <c r="AW105" s="1742"/>
      <c r="AX105" s="1742"/>
      <c r="AY105" s="1742"/>
      <c r="AZ105" s="1742"/>
      <c r="BA105" s="1742"/>
      <c r="BB105" s="1742"/>
      <c r="BC105" s="1742"/>
      <c r="BD105" s="1742"/>
      <c r="BE105" s="1742"/>
      <c r="BF105" s="1742"/>
    </row>
    <row r="107" spans="1:184" s="1735" customFormat="1" ht="11.25" customHeight="1">
      <c r="A107" s="1735" t="s">
        <v>2106</v>
      </c>
    </row>
    <row r="108" spans="1:184" ht="17.25" customHeight="1"/>
    <row r="109" spans="1:184" s="853" customFormat="1" ht="21" customHeight="1">
      <c r="A109" s="1090"/>
      <c r="B109" s="868"/>
      <c r="D109" s="852"/>
      <c r="E109" s="867" t="s">
        <v>22</v>
      </c>
      <c r="F109" s="1045" t="e">
        <f>INDEX(IP_MAIN_LIST_NAME_IP,MATCH(A109,IP_MAIN_LIST_IP_ID,0))&amp;" ("&amp;INDEX(IP_MAIN_START_DATE,MATCH(A109,IP_MAIN_LIST_IP_ID,0))&amp;"-"&amp;INDEX(IP_MAIN_END_DATE,MATCH(A109,IP_MAIN_LIST_IP_ID,0))&amp;")"</f>
        <v>#N/A</v>
      </c>
      <c r="G109" s="1126"/>
      <c r="H109" s="1127"/>
      <c r="I109" s="1127"/>
      <c r="J109" s="1127"/>
      <c r="K109" s="1127"/>
      <c r="L109" s="1127"/>
      <c r="M109" s="1127"/>
      <c r="N109" s="1127"/>
      <c r="O109" s="1126"/>
      <c r="P109" s="1126"/>
      <c r="Q109" s="1126"/>
      <c r="R109" s="1126"/>
      <c r="S109" s="1126"/>
      <c r="T109" s="1126"/>
      <c r="U109" s="1128"/>
      <c r="V109" s="1128"/>
      <c r="W109" s="1128"/>
      <c r="X109" s="1128"/>
      <c r="Y109" s="1128"/>
      <c r="Z109" s="1128"/>
      <c r="AA109" s="1128"/>
      <c r="AB109" s="1126"/>
      <c r="AC109" s="1127"/>
      <c r="AD109" s="1127"/>
      <c r="AE109" s="1127"/>
      <c r="AF109" s="1127"/>
      <c r="AG109" s="1127"/>
      <c r="AH109" s="1127"/>
      <c r="AI109" s="1127"/>
      <c r="AJ109" s="1127"/>
      <c r="AK109" s="1127"/>
      <c r="AL109" s="1127"/>
      <c r="AM109" s="1127"/>
      <c r="AN109" s="1127"/>
      <c r="AO109" s="1127"/>
      <c r="AP109" s="1127"/>
      <c r="AQ109" s="1127"/>
      <c r="AR109" s="1127"/>
      <c r="AS109" s="1127"/>
      <c r="AT109" s="1127"/>
      <c r="AU109" s="1127"/>
      <c r="AV109" s="1127"/>
      <c r="AW109" s="1127"/>
      <c r="AX109" s="1127"/>
      <c r="AY109" s="1127"/>
      <c r="AZ109" s="1127"/>
      <c r="BA109" s="1127"/>
      <c r="BB109" s="1127"/>
      <c r="BC109" s="1127"/>
      <c r="BD109" s="1127"/>
      <c r="BE109" s="1127"/>
      <c r="BF109" s="1127"/>
      <c r="BG109" s="1127"/>
      <c r="BH109" s="1127"/>
      <c r="BI109" s="1127"/>
      <c r="BJ109" s="1127"/>
      <c r="BK109" s="1127"/>
      <c r="BL109" s="1127"/>
      <c r="BM109" s="1127"/>
      <c r="BN109" s="1127"/>
      <c r="BO109" s="1127"/>
      <c r="BP109" s="1127"/>
      <c r="BQ109" s="1127"/>
      <c r="BR109" s="1127"/>
      <c r="BS109" s="1127"/>
      <c r="BT109" s="1127"/>
      <c r="BU109" s="1127"/>
      <c r="BV109" s="1127"/>
      <c r="BW109" s="1127"/>
      <c r="BX109" s="1127"/>
      <c r="BY109" s="1127"/>
      <c r="BZ109" s="1127"/>
      <c r="CA109" s="1127"/>
      <c r="CB109" s="1127"/>
      <c r="CC109" s="1127"/>
      <c r="CD109" s="1127"/>
      <c r="CE109" s="1127"/>
      <c r="CF109" s="1127"/>
      <c r="CG109" s="1127"/>
      <c r="CH109" s="1127"/>
      <c r="CI109" s="1127"/>
      <c r="CJ109" s="1127"/>
      <c r="CK109" s="1127"/>
      <c r="CL109" s="1129"/>
      <c r="CM109" s="1129"/>
      <c r="CN109" s="1129"/>
      <c r="CO109" s="1129"/>
      <c r="CP109" s="1129"/>
      <c r="CQ109" s="1129"/>
      <c r="CR109" s="1129"/>
      <c r="CS109" s="1129"/>
      <c r="CT109" s="1129"/>
      <c r="CU109" s="1129"/>
      <c r="CV109" s="1129"/>
      <c r="CW109" s="1129"/>
      <c r="CX109" s="1129"/>
      <c r="CY109" s="1129"/>
      <c r="CZ109" s="1129"/>
      <c r="DA109" s="1129"/>
      <c r="DB109" s="1129"/>
      <c r="DC109" s="1129"/>
      <c r="DD109" s="1129"/>
      <c r="DE109" s="1129"/>
      <c r="DF109" s="1129"/>
      <c r="DG109" s="1129"/>
      <c r="DH109" s="1129"/>
      <c r="DI109" s="1129"/>
      <c r="DJ109" s="1129"/>
      <c r="DK109" s="1129"/>
      <c r="DL109" s="1129"/>
      <c r="DM109" s="1129"/>
      <c r="DN109" s="1129"/>
      <c r="DO109" s="1129"/>
      <c r="DP109" s="1129"/>
      <c r="DQ109" s="1129"/>
      <c r="DR109" s="1129"/>
      <c r="DS109" s="1129"/>
      <c r="DT109" s="1129"/>
      <c r="DU109" s="1129"/>
      <c r="DV109" s="1129"/>
      <c r="DW109" s="1129"/>
      <c r="DX109" s="1129"/>
      <c r="DY109" s="1129"/>
      <c r="DZ109" s="1129"/>
      <c r="EA109" s="1129"/>
      <c r="EB109" s="1129"/>
      <c r="EC109" s="1129"/>
      <c r="ED109" s="1129"/>
      <c r="EE109" s="1129"/>
      <c r="EF109" s="1129"/>
      <c r="EG109" s="1129"/>
      <c r="EH109" s="1129"/>
      <c r="EI109" s="1129"/>
      <c r="EJ109" s="1129"/>
      <c r="EK109" s="1129"/>
      <c r="EL109" s="1129"/>
      <c r="EM109" s="1129"/>
      <c r="EN109" s="1129"/>
      <c r="EO109" s="1129"/>
      <c r="EP109" s="1129"/>
      <c r="EQ109" s="1129"/>
      <c r="ER109" s="1129"/>
      <c r="ES109" s="1129"/>
      <c r="ET109" s="1129"/>
      <c r="EU109" s="1129"/>
      <c r="EV109" s="1129"/>
      <c r="EW109" s="1129"/>
      <c r="EX109" s="1129"/>
      <c r="EY109" s="1129"/>
      <c r="EZ109" s="1129"/>
      <c r="FA109" s="1129"/>
      <c r="FB109" s="1129"/>
      <c r="FC109" s="1129"/>
      <c r="FD109" s="1129"/>
      <c r="FE109" s="1129"/>
      <c r="FF109" s="1129"/>
      <c r="FG109" s="1129"/>
      <c r="FH109" s="1129"/>
      <c r="FI109" s="1129"/>
      <c r="FJ109" s="1129"/>
      <c r="FK109" s="1129"/>
      <c r="FL109" s="1129"/>
      <c r="FM109" s="1129"/>
      <c r="FN109" s="1129"/>
      <c r="FO109" s="1129"/>
      <c r="FP109" s="1129"/>
      <c r="FQ109" s="1129"/>
      <c r="FR109" s="1129"/>
      <c r="FS109" s="1129"/>
      <c r="FT109" s="1129"/>
      <c r="FU109" s="1129"/>
      <c r="FV109" s="1130"/>
      <c r="FW109" s="1124"/>
      <c r="FX109" s="1125"/>
    </row>
    <row r="110" spans="1:184" s="853" customFormat="1" ht="24.75" customHeight="1">
      <c r="B110" s="851"/>
      <c r="C110" s="852"/>
      <c r="D110" s="852"/>
      <c r="E110" s="1752"/>
      <c r="F110" s="1131">
        <v>1</v>
      </c>
      <c r="G110" s="1132"/>
      <c r="H110" s="1133"/>
      <c r="I110" s="1896"/>
      <c r="J110" s="1134"/>
      <c r="K110" s="1134"/>
      <c r="L110" s="1134"/>
      <c r="M110" s="1134"/>
      <c r="N110" s="1134"/>
      <c r="O110" s="1135"/>
      <c r="P110" s="1135"/>
      <c r="Q110" s="1135"/>
      <c r="R110" s="1135"/>
      <c r="S110" s="1135"/>
      <c r="T110" s="1135"/>
      <c r="U110" s="1135"/>
      <c r="V110" s="1135"/>
      <c r="W110" s="1135"/>
      <c r="X110" s="1135"/>
      <c r="Y110" s="1135"/>
      <c r="Z110" s="1135"/>
      <c r="AA110" s="1135"/>
      <c r="AB110" s="1135"/>
      <c r="AC110" s="1134"/>
      <c r="AD110" s="1134"/>
      <c r="AE110" s="1134"/>
      <c r="AF110" s="1134"/>
      <c r="AG110" s="1134"/>
      <c r="AH110" s="1134"/>
      <c r="AI110" s="1134"/>
      <c r="AJ110" s="1134"/>
      <c r="AK110" s="1134"/>
      <c r="AL110" s="1134"/>
      <c r="AM110" s="1134"/>
      <c r="AN110" s="1134"/>
      <c r="AO110" s="1134"/>
      <c r="AP110" s="1134"/>
      <c r="AQ110" s="1134"/>
      <c r="AR110" s="1134"/>
      <c r="AS110" s="1134"/>
      <c r="AT110" s="1134"/>
      <c r="AU110" s="1134"/>
      <c r="AV110" s="1134"/>
      <c r="AW110" s="1134"/>
      <c r="AX110" s="1134"/>
      <c r="AY110" s="1134"/>
      <c r="AZ110" s="1134"/>
      <c r="BA110" s="1134"/>
      <c r="BB110" s="1134"/>
      <c r="BC110" s="1134"/>
      <c r="BD110" s="1134"/>
      <c r="BE110" s="1134"/>
      <c r="BF110" s="1134"/>
      <c r="BG110" s="1134"/>
      <c r="BH110" s="1134"/>
      <c r="BI110" s="1134"/>
      <c r="BJ110" s="1134"/>
      <c r="BK110" s="1134"/>
      <c r="BL110" s="1134"/>
      <c r="BM110" s="1134"/>
      <c r="BN110" s="1134"/>
      <c r="BO110" s="1134"/>
      <c r="BP110" s="1134"/>
      <c r="BQ110" s="1134"/>
      <c r="BR110" s="1134"/>
      <c r="BS110" s="1134"/>
      <c r="BT110" s="1135"/>
      <c r="BU110" s="1135"/>
      <c r="BV110" s="1135"/>
      <c r="BW110" s="1135"/>
      <c r="BX110" s="1135"/>
      <c r="BY110" s="1135"/>
      <c r="BZ110" s="1135"/>
      <c r="CA110" s="1135"/>
      <c r="CB110" s="1135"/>
      <c r="CC110" s="1135"/>
      <c r="CD110" s="1135"/>
      <c r="CE110" s="1135"/>
      <c r="CF110" s="1135"/>
      <c r="CG110" s="1135"/>
      <c r="CH110" s="1135"/>
      <c r="CI110" s="1135"/>
      <c r="CJ110" s="1135"/>
      <c r="CK110" s="1135"/>
      <c r="CL110" s="1134"/>
      <c r="CM110" s="1134"/>
      <c r="CN110" s="1134"/>
      <c r="CO110" s="1134"/>
      <c r="CP110" s="1134"/>
      <c r="CQ110" s="1134"/>
      <c r="CR110" s="1134"/>
      <c r="CS110" s="1134"/>
      <c r="CT110" s="1134"/>
      <c r="CU110" s="1134"/>
      <c r="CV110" s="1134"/>
      <c r="CW110" s="1134"/>
      <c r="CX110" s="1134"/>
      <c r="CY110" s="1135"/>
      <c r="CZ110" s="1135"/>
      <c r="DA110" s="1135"/>
      <c r="DB110" s="1135"/>
      <c r="DC110" s="1135"/>
      <c r="DD110" s="1135"/>
      <c r="DE110" s="1135"/>
      <c r="DF110" s="1135"/>
      <c r="DG110" s="1135"/>
      <c r="DH110" s="1135"/>
      <c r="DI110" s="1135"/>
      <c r="DJ110" s="1135"/>
      <c r="DK110" s="1134"/>
      <c r="DL110" s="1134"/>
      <c r="DM110" s="1134"/>
      <c r="DN110" s="1134"/>
      <c r="DO110" s="1134"/>
      <c r="DP110" s="1134"/>
      <c r="DQ110" s="1134"/>
      <c r="DR110" s="1134"/>
      <c r="DS110" s="1134"/>
      <c r="DT110" s="1134"/>
      <c r="DU110" s="1134"/>
      <c r="DV110" s="1134"/>
      <c r="DW110" s="1134"/>
      <c r="DX110" s="1134"/>
      <c r="DY110" s="1134"/>
      <c r="DZ110" s="1134"/>
      <c r="EA110" s="1134"/>
      <c r="EB110" s="1134"/>
      <c r="EC110" s="1134"/>
      <c r="ED110" s="1134"/>
      <c r="EE110" s="1134"/>
      <c r="EF110" s="1134"/>
      <c r="EG110" s="1134"/>
      <c r="EH110" s="1134"/>
      <c r="EI110" s="1134"/>
      <c r="EJ110" s="1134"/>
      <c r="EK110" s="1134"/>
      <c r="EL110" s="1134"/>
      <c r="EM110" s="1134"/>
      <c r="EN110" s="1134"/>
      <c r="EO110" s="1134"/>
      <c r="EP110" s="1134"/>
      <c r="EQ110" s="1134"/>
      <c r="ER110" s="1134"/>
      <c r="ES110" s="1134"/>
      <c r="ET110" s="1134"/>
      <c r="EU110" s="1134"/>
      <c r="EV110" s="1134"/>
      <c r="EW110" s="1134"/>
      <c r="EX110" s="1134"/>
      <c r="EY110" s="1134"/>
      <c r="EZ110" s="1134"/>
      <c r="FA110" s="1134"/>
      <c r="FB110" s="1134"/>
      <c r="FC110" s="1134"/>
      <c r="FD110" s="1134"/>
      <c r="FE110" s="1134"/>
      <c r="FF110" s="1134"/>
      <c r="FG110" s="1134"/>
      <c r="FH110" s="1134"/>
      <c r="FI110" s="1134"/>
      <c r="FJ110" s="1134"/>
      <c r="FK110" s="1134"/>
      <c r="FL110" s="1134"/>
      <c r="FM110" s="1134"/>
      <c r="FN110" s="1134"/>
      <c r="FO110" s="1134"/>
      <c r="FP110" s="1134"/>
      <c r="FQ110" s="1134"/>
      <c r="FR110" s="1134"/>
      <c r="FS110" s="1134"/>
      <c r="FT110" s="1134"/>
      <c r="FU110" s="1134"/>
      <c r="FV110" s="1134"/>
      <c r="FW110" s="1134"/>
      <c r="FX110" s="1125"/>
    </row>
    <row r="111" spans="1:184" s="853" customFormat="1" ht="12" customHeight="1">
      <c r="A111" s="852"/>
      <c r="B111" s="851"/>
      <c r="C111" s="852"/>
      <c r="D111" s="852"/>
      <c r="E111" s="852"/>
      <c r="F111" s="1136"/>
      <c r="G111" s="1720" t="s">
        <v>1317</v>
      </c>
      <c r="H111" s="1137"/>
      <c r="I111" s="1137"/>
      <c r="J111" s="1137"/>
      <c r="K111" s="1137"/>
      <c r="L111" s="1137"/>
      <c r="M111" s="1137"/>
      <c r="N111" s="1137"/>
      <c r="O111" s="1137"/>
      <c r="P111" s="1137"/>
      <c r="Q111" s="1137"/>
      <c r="R111" s="1137"/>
      <c r="S111" s="1137"/>
      <c r="T111" s="1137"/>
      <c r="U111" s="1137"/>
      <c r="V111" s="1137"/>
      <c r="W111" s="1137"/>
      <c r="X111" s="1137"/>
      <c r="Y111" s="1137"/>
      <c r="Z111" s="1137"/>
      <c r="AA111" s="1137"/>
      <c r="AB111" s="1137"/>
      <c r="AC111" s="1137"/>
      <c r="AD111" s="1137"/>
      <c r="AE111" s="1137"/>
      <c r="AF111" s="1137"/>
      <c r="AG111" s="1137"/>
      <c r="AH111" s="1137"/>
      <c r="AI111" s="1137"/>
      <c r="AJ111" s="1137"/>
      <c r="AK111" s="1137"/>
      <c r="AL111" s="1137"/>
      <c r="AM111" s="1137"/>
      <c r="AN111" s="1137"/>
      <c r="AO111" s="1137"/>
      <c r="AP111" s="1137"/>
      <c r="AQ111" s="1137"/>
      <c r="AR111" s="1137"/>
      <c r="AS111" s="1137"/>
      <c r="AT111" s="1137"/>
      <c r="AU111" s="1137"/>
      <c r="AV111" s="1137"/>
      <c r="AW111" s="1137"/>
      <c r="AX111" s="1137"/>
      <c r="AY111" s="1137"/>
      <c r="AZ111" s="1137"/>
      <c r="BA111" s="1137"/>
      <c r="BB111" s="1137"/>
      <c r="BC111" s="1137"/>
      <c r="BD111" s="1137"/>
      <c r="BE111" s="1137"/>
      <c r="BF111" s="1137"/>
      <c r="BG111" s="1137"/>
      <c r="BH111" s="1137"/>
      <c r="BI111" s="1137"/>
      <c r="BJ111" s="1137"/>
      <c r="BK111" s="1137"/>
      <c r="BL111" s="1137"/>
      <c r="BM111" s="1137"/>
      <c r="BN111" s="1137"/>
      <c r="BO111" s="1137"/>
      <c r="BP111" s="1137"/>
      <c r="BQ111" s="1137"/>
      <c r="BR111" s="1137"/>
      <c r="BS111" s="1137"/>
      <c r="BT111" s="1137"/>
      <c r="BU111" s="1137"/>
      <c r="BV111" s="1137"/>
      <c r="BW111" s="1137"/>
      <c r="BX111" s="1137"/>
      <c r="BY111" s="1137"/>
      <c r="BZ111" s="1137"/>
      <c r="CA111" s="1137"/>
      <c r="CB111" s="1137"/>
      <c r="CC111" s="1137"/>
      <c r="CD111" s="1137"/>
      <c r="CE111" s="1137"/>
      <c r="CF111" s="1137"/>
      <c r="CG111" s="1137"/>
      <c r="CH111" s="1137"/>
      <c r="CI111" s="1137"/>
      <c r="CJ111" s="1137"/>
      <c r="CK111" s="1137"/>
      <c r="CL111" s="1137"/>
      <c r="CM111" s="1137"/>
      <c r="CN111" s="1137"/>
      <c r="CO111" s="1137"/>
      <c r="CP111" s="1137"/>
      <c r="CQ111" s="1137"/>
      <c r="CR111" s="1137"/>
      <c r="CS111" s="1137"/>
      <c r="CT111" s="1137"/>
      <c r="CU111" s="1137"/>
      <c r="CV111" s="1137"/>
      <c r="CW111" s="1137"/>
      <c r="CX111" s="1137"/>
      <c r="CY111" s="1137"/>
      <c r="CZ111" s="1137"/>
      <c r="DA111" s="1137"/>
      <c r="DB111" s="1137"/>
      <c r="DC111" s="1137"/>
      <c r="DD111" s="1137"/>
      <c r="DE111" s="1137"/>
      <c r="DF111" s="1137"/>
      <c r="DG111" s="1137"/>
      <c r="DH111" s="1137"/>
      <c r="DI111" s="1137"/>
      <c r="DJ111" s="1137"/>
      <c r="DK111" s="1137"/>
      <c r="DL111" s="1137"/>
      <c r="DM111" s="1137"/>
      <c r="DN111" s="1137"/>
      <c r="DO111" s="1137"/>
      <c r="DP111" s="1137"/>
      <c r="DQ111" s="1137"/>
      <c r="DR111" s="1137"/>
      <c r="DS111" s="1137"/>
      <c r="DT111" s="1137"/>
      <c r="DU111" s="1137"/>
      <c r="DV111" s="1137"/>
      <c r="DW111" s="1137"/>
      <c r="DX111" s="1137"/>
      <c r="DY111" s="1137"/>
      <c r="DZ111" s="1137"/>
      <c r="EA111" s="1137"/>
      <c r="EB111" s="1137"/>
      <c r="EC111" s="1137"/>
      <c r="ED111" s="1137"/>
      <c r="EE111" s="1137"/>
      <c r="EF111" s="1137"/>
      <c r="EG111" s="1137"/>
      <c r="EH111" s="1137"/>
      <c r="EI111" s="1137"/>
      <c r="EJ111" s="1137"/>
      <c r="EK111" s="1137"/>
      <c r="EL111" s="1137"/>
      <c r="EM111" s="1137"/>
      <c r="EN111" s="1137"/>
      <c r="EO111" s="1137"/>
      <c r="EP111" s="1137"/>
      <c r="EQ111" s="1137"/>
      <c r="ER111" s="1137"/>
      <c r="ES111" s="1137"/>
      <c r="ET111" s="1137"/>
      <c r="EU111" s="1137"/>
      <c r="EV111" s="1137"/>
      <c r="EW111" s="1137"/>
      <c r="EX111" s="1137"/>
      <c r="EY111" s="1137"/>
      <c r="EZ111" s="1137"/>
      <c r="FA111" s="1137"/>
      <c r="FB111" s="1137"/>
      <c r="FC111" s="1137"/>
      <c r="FD111" s="1137"/>
      <c r="FE111" s="1137"/>
      <c r="FF111" s="1137"/>
      <c r="FG111" s="1137"/>
      <c r="FH111" s="1137"/>
      <c r="FI111" s="1137"/>
      <c r="FJ111" s="1137"/>
      <c r="FK111" s="1137"/>
      <c r="FL111" s="1137"/>
      <c r="FM111" s="1137"/>
      <c r="FN111" s="1137"/>
      <c r="FO111" s="1137"/>
      <c r="FP111" s="1137"/>
      <c r="FQ111" s="1137"/>
      <c r="FR111" s="1137"/>
      <c r="FS111" s="1137"/>
      <c r="FT111" s="1137"/>
      <c r="FU111" s="1137"/>
      <c r="FV111" s="1137"/>
      <c r="FW111" s="1138"/>
      <c r="FX111" s="1139"/>
      <c r="FY111" s="869"/>
      <c r="FZ111" s="869"/>
      <c r="GA111" s="869"/>
      <c r="GB111" s="869"/>
    </row>
    <row r="113" spans="1:83" s="1735" customFormat="1" ht="11.25" customHeight="1">
      <c r="A113" s="1735" t="s">
        <v>2107</v>
      </c>
    </row>
    <row r="115" spans="1:83" s="1767" customFormat="1" ht="15" customHeight="1">
      <c r="A115" s="559"/>
      <c r="B115" s="560"/>
      <c r="C115" s="560"/>
      <c r="D115" s="2610" t="s">
        <v>100</v>
      </c>
      <c r="E115" s="2613" t="s">
        <v>119</v>
      </c>
      <c r="F115" s="2614"/>
      <c r="G115" s="2615"/>
      <c r="H115" s="2616" t="str">
        <f>IF(A115="","",INDEX(DIFFERENTIATION_UNMERGE_VD,MATCH(A115,DIFFERENTIATION_ID_DIFF,0)))</f>
        <v/>
      </c>
      <c r="I115" s="2616"/>
      <c r="J115" s="2616"/>
      <c r="K115" s="2616"/>
      <c r="L115" s="2616"/>
      <c r="M115" s="2616"/>
      <c r="N115" s="2616"/>
      <c r="O115" s="2616"/>
      <c r="P115" s="2616"/>
      <c r="Q115" s="2616"/>
      <c r="R115" s="2616"/>
      <c r="S115" s="655"/>
      <c r="T115" s="652"/>
      <c r="U115" s="561"/>
      <c r="V115" s="561"/>
      <c r="W115" s="562"/>
      <c r="X115" s="562"/>
      <c r="Y115" s="562"/>
      <c r="Z115" s="562"/>
      <c r="AA115" s="563"/>
      <c r="AB115" s="564"/>
      <c r="AC115" s="2617"/>
      <c r="AD115" s="565"/>
      <c r="AE115" s="566" t="s">
        <v>22</v>
      </c>
      <c r="AF115" s="566"/>
      <c r="AG115" s="567" t="s">
        <v>643</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67" customFormat="1" ht="15" customHeight="1">
      <c r="A116" s="559"/>
      <c r="B116" s="560"/>
      <c r="C116" s="560"/>
      <c r="D116" s="2611"/>
      <c r="E116" s="2613" t="s">
        <v>581</v>
      </c>
      <c r="F116" s="2614"/>
      <c r="G116" s="2615"/>
      <c r="H116" s="2616" t="str">
        <f>IF(A115="","",INDEX(DIFFERENTIATION_UNMERGE_AREA,MATCH(A115,DIFFERENTIATION_ID_DIFF,0)))</f>
        <v/>
      </c>
      <c r="I116" s="2616"/>
      <c r="J116" s="2616"/>
      <c r="K116" s="2616"/>
      <c r="L116" s="2616"/>
      <c r="M116" s="2616"/>
      <c r="N116" s="2616"/>
      <c r="O116" s="2616"/>
      <c r="P116" s="2616"/>
      <c r="Q116" s="2616"/>
      <c r="R116" s="2616"/>
      <c r="S116" s="655"/>
      <c r="T116" s="652"/>
      <c r="U116" s="561"/>
      <c r="V116" s="561"/>
      <c r="W116" s="562"/>
      <c r="X116" s="562"/>
      <c r="Y116" s="562"/>
      <c r="Z116" s="562"/>
      <c r="AA116" s="563"/>
      <c r="AB116" s="564"/>
      <c r="AC116" s="2617"/>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67" customFormat="1" ht="15" customHeight="1">
      <c r="A117" s="559"/>
      <c r="B117" s="560"/>
      <c r="C117" s="560"/>
      <c r="D117" s="2611"/>
      <c r="E117" s="2613" t="s">
        <v>582</v>
      </c>
      <c r="F117" s="2614"/>
      <c r="G117" s="2615"/>
      <c r="H117" s="2616" t="str">
        <f>IF(A115="","",INDEX(DIFFERENTIATION_UNMERGE_SYSTEM,MATCH(A115,DIFFERENTIATION_ID_DIFF,0)))</f>
        <v/>
      </c>
      <c r="I117" s="2616"/>
      <c r="J117" s="2616"/>
      <c r="K117" s="2616"/>
      <c r="L117" s="2616"/>
      <c r="M117" s="2616"/>
      <c r="N117" s="2616"/>
      <c r="O117" s="2616"/>
      <c r="P117" s="2616"/>
      <c r="Q117" s="2616"/>
      <c r="R117" s="2616"/>
      <c r="S117" s="655"/>
      <c r="T117" s="652"/>
      <c r="U117" s="561"/>
      <c r="V117" s="561"/>
      <c r="W117" s="562"/>
      <c r="X117" s="562"/>
      <c r="Y117" s="562"/>
      <c r="Z117" s="562"/>
      <c r="AA117" s="563"/>
      <c r="AB117" s="564"/>
      <c r="AC117" s="2617"/>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67" customFormat="1" ht="24.75" customHeight="1">
      <c r="A118" s="1726"/>
      <c r="B118" s="1083"/>
      <c r="C118" s="348"/>
      <c r="D118" s="2611"/>
      <c r="E118" s="2618" t="s">
        <v>644</v>
      </c>
      <c r="F118" s="2618"/>
      <c r="G118" s="2618"/>
      <c r="H118" s="2618"/>
      <c r="I118" s="2618"/>
      <c r="J118" s="2618"/>
      <c r="K118" s="2618"/>
      <c r="L118" s="2618"/>
      <c r="M118" s="2618"/>
      <c r="N118" s="2618"/>
      <c r="O118" s="2618"/>
      <c r="P118" s="2618"/>
      <c r="Q118" s="494">
        <f>SUMIF(T119:T120,"i",Q119:Q120)</f>
        <v>0</v>
      </c>
      <c r="R118" s="944"/>
      <c r="S118" s="1718" t="s">
        <v>645</v>
      </c>
      <c r="T118" s="653" t="s">
        <v>646</v>
      </c>
      <c r="U118" s="2505">
        <v>1</v>
      </c>
      <c r="V118" s="2505" t="e">
        <f>INDEX(B_FHD_FLAG_INDEX_1,1,MATCH(A115,B_FHD_FLAG_DIFFERENTIATION,0))</f>
        <v>#N/A</v>
      </c>
      <c r="W118" s="1083"/>
      <c r="X118" s="1083"/>
      <c r="Y118" s="1083"/>
      <c r="Z118" s="1083"/>
      <c r="AA118" s="1559"/>
      <c r="AB118" s="1083"/>
      <c r="AC118" s="2617"/>
      <c r="AD118" s="565"/>
      <c r="AE118" s="1083"/>
      <c r="AF118" s="1083"/>
      <c r="AG118" s="1559"/>
      <c r="AH118" s="1559"/>
      <c r="AI118" s="1559"/>
      <c r="AJ118" s="1559"/>
      <c r="AK118" s="1559"/>
      <c r="AL118" s="1559"/>
      <c r="AM118" s="1559"/>
      <c r="AN118" s="1559"/>
      <c r="AO118" s="1559"/>
      <c r="AP118" s="1559"/>
      <c r="AQ118" s="1559"/>
      <c r="AR118" s="1559"/>
      <c r="AS118" s="1559"/>
      <c r="AT118" s="1559"/>
      <c r="AU118" s="1559"/>
      <c r="AV118" s="1559"/>
      <c r="AW118" s="1559"/>
      <c r="AX118" s="1559"/>
      <c r="AY118" s="1559"/>
      <c r="AZ118" s="1559"/>
      <c r="BA118" s="1559"/>
      <c r="BB118" s="1559"/>
      <c r="BC118" s="1559"/>
      <c r="BD118" s="1559"/>
      <c r="BE118" s="1559"/>
      <c r="BF118" s="1559"/>
      <c r="BG118" s="1559"/>
      <c r="BH118" s="1559"/>
      <c r="BI118" s="1559"/>
      <c r="BJ118" s="1559"/>
      <c r="BK118" s="1559"/>
      <c r="BL118" s="1559"/>
      <c r="BM118" s="1559"/>
      <c r="BN118" s="1559"/>
      <c r="BO118" s="1559"/>
      <c r="BP118" s="1559"/>
      <c r="BQ118" s="1559"/>
      <c r="BR118" s="1559"/>
      <c r="BS118" s="1559"/>
      <c r="BT118" s="1559"/>
      <c r="BU118" s="1559"/>
      <c r="BV118" s="1083"/>
      <c r="BW118" s="1083"/>
      <c r="BX118" s="1083"/>
      <c r="BY118" s="1083"/>
      <c r="BZ118" s="1083"/>
      <c r="CA118" s="1083"/>
      <c r="CB118" s="1083"/>
      <c r="CC118" s="1083"/>
      <c r="CD118" s="1083"/>
      <c r="CE118" s="1083"/>
    </row>
    <row r="119" spans="1:83" s="1767" customFormat="1" ht="11.25" hidden="1" customHeight="1">
      <c r="A119" s="1713"/>
      <c r="B119" s="1559"/>
      <c r="C119" s="1559"/>
      <c r="D119" s="2611"/>
      <c r="E119" s="571"/>
      <c r="F119" s="571">
        <v>0</v>
      </c>
      <c r="G119" s="571"/>
      <c r="H119" s="571"/>
      <c r="I119" s="571"/>
      <c r="J119" s="571"/>
      <c r="K119" s="571"/>
      <c r="L119" s="571"/>
      <c r="M119" s="571"/>
      <c r="N119" s="571"/>
      <c r="O119" s="571"/>
      <c r="P119" s="571"/>
      <c r="Q119" s="571"/>
      <c r="R119" s="571"/>
      <c r="S119" s="572"/>
      <c r="T119" s="654"/>
      <c r="U119" s="2505"/>
      <c r="V119" s="2505"/>
      <c r="W119" s="1559"/>
      <c r="X119" s="1559"/>
      <c r="Y119" s="1559"/>
      <c r="Z119" s="1559"/>
      <c r="AA119" s="1559"/>
      <c r="AB119" s="1083"/>
      <c r="AC119" s="2617"/>
      <c r="AD119" s="565"/>
      <c r="AE119" s="1083"/>
      <c r="AF119" s="1083"/>
      <c r="AG119" s="1559"/>
      <c r="AH119" s="1559"/>
      <c r="AI119" s="1559"/>
      <c r="AJ119" s="1559"/>
      <c r="AK119" s="1559"/>
      <c r="AL119" s="1559"/>
      <c r="AM119" s="1559"/>
      <c r="AN119" s="1559"/>
      <c r="AO119" s="1559"/>
      <c r="AP119" s="1559"/>
      <c r="AQ119" s="1559"/>
      <c r="AR119" s="1559"/>
      <c r="AS119" s="1559"/>
      <c r="AT119" s="1559"/>
      <c r="AU119" s="1559"/>
      <c r="AV119" s="1559"/>
      <c r="AW119" s="1559"/>
      <c r="AX119" s="1559"/>
      <c r="AY119" s="1559"/>
      <c r="AZ119" s="1559"/>
      <c r="BA119" s="1559"/>
      <c r="BB119" s="1559"/>
      <c r="BC119" s="1559"/>
      <c r="BD119" s="1559"/>
      <c r="BE119" s="1559"/>
      <c r="BF119" s="1559"/>
      <c r="BG119" s="1559"/>
      <c r="BH119" s="1559"/>
      <c r="BI119" s="1559"/>
      <c r="BJ119" s="1559"/>
      <c r="BK119" s="1559"/>
      <c r="BL119" s="1559"/>
      <c r="BM119" s="1559"/>
      <c r="BN119" s="1559"/>
      <c r="BO119" s="1559"/>
      <c r="BP119" s="1559"/>
      <c r="BQ119" s="1559"/>
      <c r="BR119" s="1559"/>
      <c r="BS119" s="1559"/>
      <c r="BT119" s="1559"/>
      <c r="BU119" s="1559"/>
      <c r="BV119" s="1559"/>
      <c r="BW119" s="1559"/>
      <c r="BX119" s="1559"/>
      <c r="BY119" s="1559"/>
      <c r="BZ119" s="1559"/>
      <c r="CA119" s="1559"/>
      <c r="CB119" s="1559"/>
      <c r="CC119" s="1559"/>
      <c r="CD119" s="1559"/>
      <c r="CE119" s="1559"/>
    </row>
    <row r="120" spans="1:83" s="1767" customFormat="1" ht="11.25" customHeight="1">
      <c r="A120" s="1726"/>
      <c r="B120" s="1083"/>
      <c r="C120" s="348"/>
      <c r="D120" s="2611"/>
      <c r="E120" s="585" t="s">
        <v>22</v>
      </c>
      <c r="F120" s="1091" t="s">
        <v>22</v>
      </c>
      <c r="G120" s="1091" t="s">
        <v>681</v>
      </c>
      <c r="H120" s="587" t="s">
        <v>22</v>
      </c>
      <c r="I120" s="587"/>
      <c r="J120" s="587"/>
      <c r="K120" s="587"/>
      <c r="L120" s="587"/>
      <c r="M120" s="587"/>
      <c r="N120" s="587"/>
      <c r="O120" s="587"/>
      <c r="P120" s="587"/>
      <c r="Q120" s="587"/>
      <c r="R120" s="588"/>
      <c r="S120" s="589"/>
      <c r="T120" s="654"/>
      <c r="U120" s="2505"/>
      <c r="V120" s="2505"/>
      <c r="W120" s="1083"/>
      <c r="X120" s="1083"/>
      <c r="Y120" s="1083"/>
      <c r="Z120" s="1083"/>
      <c r="AA120" s="1559"/>
      <c r="AB120" s="1083"/>
      <c r="AC120" s="2617"/>
      <c r="AD120" s="565"/>
      <c r="AE120" s="1083"/>
      <c r="AF120" s="1083"/>
      <c r="AG120" s="1559"/>
      <c r="AH120" s="1559"/>
      <c r="AI120" s="1559"/>
      <c r="AJ120" s="1559"/>
      <c r="AK120" s="1559"/>
      <c r="AL120" s="1559"/>
      <c r="AM120" s="1559"/>
      <c r="AN120" s="1559"/>
      <c r="AO120" s="1559"/>
      <c r="AP120" s="1559"/>
      <c r="AQ120" s="1559"/>
      <c r="AR120" s="1559"/>
      <c r="AS120" s="1559"/>
      <c r="AT120" s="1559"/>
      <c r="AU120" s="1559"/>
      <c r="AV120" s="1559"/>
      <c r="AW120" s="1559"/>
      <c r="AX120" s="1559"/>
      <c r="AY120" s="1559"/>
      <c r="AZ120" s="1559"/>
      <c r="BA120" s="1559"/>
      <c r="BB120" s="1559"/>
      <c r="BC120" s="1559"/>
      <c r="BD120" s="1559"/>
      <c r="BE120" s="1559"/>
      <c r="BF120" s="1559"/>
      <c r="BG120" s="1559"/>
      <c r="BH120" s="1559"/>
      <c r="BI120" s="1559"/>
      <c r="BJ120" s="1559"/>
      <c r="BK120" s="1559"/>
      <c r="BL120" s="1559"/>
      <c r="BM120" s="1559"/>
      <c r="BN120" s="1559"/>
      <c r="BO120" s="1559"/>
      <c r="BP120" s="1559"/>
      <c r="BQ120" s="1559"/>
      <c r="BR120" s="1559"/>
      <c r="BS120" s="1559"/>
      <c r="BT120" s="1559"/>
      <c r="BU120" s="1559"/>
      <c r="BV120" s="1083"/>
      <c r="BW120" s="1083"/>
      <c r="BX120" s="1083"/>
      <c r="BY120" s="1083"/>
      <c r="BZ120" s="1083"/>
      <c r="CA120" s="1083"/>
      <c r="CB120" s="1083"/>
      <c r="CC120" s="1083"/>
      <c r="CD120" s="1083"/>
      <c r="CE120" s="1083"/>
    </row>
    <row r="121" spans="1:83" s="1767" customFormat="1" ht="24.75" customHeight="1">
      <c r="A121" s="1726"/>
      <c r="B121" s="1083"/>
      <c r="C121" s="348"/>
      <c r="D121" s="2611"/>
      <c r="E121" s="2618" t="s">
        <v>682</v>
      </c>
      <c r="F121" s="2618"/>
      <c r="G121" s="2618"/>
      <c r="H121" s="2618"/>
      <c r="I121" s="2618"/>
      <c r="J121" s="2618"/>
      <c r="K121" s="2618"/>
      <c r="L121" s="2618"/>
      <c r="M121" s="2618"/>
      <c r="N121" s="2618"/>
      <c r="O121" s="2618"/>
      <c r="P121" s="2618"/>
      <c r="Q121" s="494">
        <f>SUMIF(T122:T123,"i",Q122:Q123)</f>
        <v>0</v>
      </c>
      <c r="R121" s="944"/>
      <c r="S121" s="1718" t="s">
        <v>683</v>
      </c>
      <c r="T121" s="653" t="s">
        <v>646</v>
      </c>
      <c r="U121" s="2505">
        <v>1</v>
      </c>
      <c r="V121" s="2505" t="e">
        <f>INDEX(B_FHD_FLAG_INDEX_2,1,MATCH(A115,B_FHD_FLAG_DIFFERENTIATION,0))</f>
        <v>#N/A</v>
      </c>
      <c r="W121" s="1083"/>
      <c r="X121" s="1083"/>
      <c r="Y121" s="1083"/>
      <c r="Z121" s="1083"/>
      <c r="AA121" s="1559"/>
      <c r="AB121" s="1083"/>
      <c r="AC121" s="1716"/>
      <c r="AD121" s="565"/>
      <c r="AE121" s="1083"/>
      <c r="AF121" s="1083"/>
      <c r="AG121" s="1559"/>
      <c r="AH121" s="1559"/>
      <c r="AI121" s="1559"/>
      <c r="AJ121" s="1559"/>
      <c r="AK121" s="1559"/>
      <c r="AL121" s="1559"/>
      <c r="AM121" s="1559"/>
      <c r="AN121" s="1559"/>
      <c r="AO121" s="1559"/>
      <c r="AP121" s="1559"/>
      <c r="AQ121" s="1559"/>
      <c r="AR121" s="1559"/>
      <c r="AS121" s="1559"/>
      <c r="AT121" s="1559"/>
      <c r="AU121" s="1559"/>
      <c r="AV121" s="1559"/>
      <c r="AW121" s="1559"/>
      <c r="AX121" s="1559"/>
      <c r="AY121" s="1559"/>
      <c r="AZ121" s="1559"/>
      <c r="BA121" s="1559"/>
      <c r="BB121" s="1559"/>
      <c r="BC121" s="1559"/>
      <c r="BD121" s="1559"/>
      <c r="BE121" s="1559"/>
      <c r="BF121" s="1559"/>
      <c r="BG121" s="1559"/>
      <c r="BH121" s="1559"/>
      <c r="BI121" s="1559"/>
      <c r="BJ121" s="1559"/>
      <c r="BK121" s="1559"/>
      <c r="BL121" s="1559"/>
      <c r="BM121" s="1559"/>
      <c r="BN121" s="1559"/>
      <c r="BO121" s="1559"/>
      <c r="BP121" s="1559"/>
      <c r="BQ121" s="1559"/>
      <c r="BR121" s="1559"/>
      <c r="BS121" s="1559"/>
      <c r="BT121" s="1559"/>
      <c r="BU121" s="1559"/>
      <c r="BV121" s="1083"/>
      <c r="BW121" s="1083"/>
      <c r="BX121" s="1083"/>
      <c r="BY121" s="1083"/>
      <c r="BZ121" s="1083"/>
      <c r="CA121" s="1083"/>
      <c r="CB121" s="1083"/>
      <c r="CC121" s="1083"/>
      <c r="CD121" s="1083"/>
      <c r="CE121" s="1083"/>
    </row>
    <row r="122" spans="1:83" s="1767" customFormat="1" ht="11.25" hidden="1" customHeight="1">
      <c r="A122" s="1713"/>
      <c r="B122" s="1559"/>
      <c r="C122" s="1559"/>
      <c r="D122" s="2611"/>
      <c r="E122" s="571"/>
      <c r="F122" s="571">
        <v>0</v>
      </c>
      <c r="G122" s="571"/>
      <c r="H122" s="571"/>
      <c r="I122" s="571"/>
      <c r="J122" s="571"/>
      <c r="K122" s="571"/>
      <c r="L122" s="571"/>
      <c r="M122" s="571"/>
      <c r="N122" s="571"/>
      <c r="O122" s="571"/>
      <c r="P122" s="571"/>
      <c r="Q122" s="571"/>
      <c r="R122" s="571"/>
      <c r="S122" s="572"/>
      <c r="T122" s="654"/>
      <c r="U122" s="2505"/>
      <c r="V122" s="2505"/>
      <c r="W122" s="1559"/>
      <c r="X122" s="1559"/>
      <c r="Y122" s="1559"/>
      <c r="Z122" s="1559"/>
      <c r="AA122" s="1559"/>
      <c r="AB122" s="1083"/>
      <c r="AC122" s="1716"/>
      <c r="AD122" s="565"/>
      <c r="AE122" s="1083"/>
      <c r="AF122" s="1083"/>
      <c r="AG122" s="1559"/>
      <c r="AH122" s="1559"/>
      <c r="AI122" s="1559"/>
      <c r="AJ122" s="1559"/>
      <c r="AK122" s="1559"/>
      <c r="AL122" s="1559"/>
      <c r="AM122" s="1559"/>
      <c r="AN122" s="1559"/>
      <c r="AO122" s="1559"/>
      <c r="AP122" s="1559"/>
      <c r="AQ122" s="1559"/>
      <c r="AR122" s="1559"/>
      <c r="AS122" s="1559"/>
      <c r="AT122" s="1559"/>
      <c r="AU122" s="1559"/>
      <c r="AV122" s="1559"/>
      <c r="AW122" s="1559"/>
      <c r="AX122" s="1559"/>
      <c r="AY122" s="1559"/>
      <c r="AZ122" s="1559"/>
      <c r="BA122" s="1559"/>
      <c r="BB122" s="1559"/>
      <c r="BC122" s="1559"/>
      <c r="BD122" s="1559"/>
      <c r="BE122" s="1559"/>
      <c r="BF122" s="1559"/>
      <c r="BG122" s="1559"/>
      <c r="BH122" s="1559"/>
      <c r="BI122" s="1559"/>
      <c r="BJ122" s="1559"/>
      <c r="BK122" s="1559"/>
      <c r="BL122" s="1559"/>
      <c r="BM122" s="1559"/>
      <c r="BN122" s="1559"/>
      <c r="BO122" s="1559"/>
      <c r="BP122" s="1559"/>
      <c r="BQ122" s="1559"/>
      <c r="BR122" s="1559"/>
      <c r="BS122" s="1559"/>
      <c r="BT122" s="1559"/>
      <c r="BU122" s="1559"/>
      <c r="BV122" s="1559"/>
      <c r="BW122" s="1559"/>
      <c r="BX122" s="1559"/>
      <c r="BY122" s="1559"/>
      <c r="BZ122" s="1559"/>
      <c r="CA122" s="1559"/>
      <c r="CB122" s="1559"/>
      <c r="CC122" s="1559"/>
      <c r="CD122" s="1559"/>
      <c r="CE122" s="1559"/>
    </row>
    <row r="123" spans="1:83" s="1767" customFormat="1" ht="11.25" customHeight="1">
      <c r="A123" s="1726"/>
      <c r="B123" s="1083"/>
      <c r="C123" s="348"/>
      <c r="D123" s="2612"/>
      <c r="E123" s="585" t="s">
        <v>22</v>
      </c>
      <c r="F123" s="1091" t="s">
        <v>22</v>
      </c>
      <c r="G123" s="1091" t="s">
        <v>681</v>
      </c>
      <c r="H123" s="587" t="s">
        <v>22</v>
      </c>
      <c r="I123" s="587"/>
      <c r="J123" s="587"/>
      <c r="K123" s="587"/>
      <c r="L123" s="587"/>
      <c r="M123" s="587"/>
      <c r="N123" s="587"/>
      <c r="O123" s="587"/>
      <c r="P123" s="587"/>
      <c r="Q123" s="587"/>
      <c r="R123" s="588"/>
      <c r="S123" s="589"/>
      <c r="T123" s="654"/>
      <c r="U123" s="2505"/>
      <c r="V123" s="2505"/>
      <c r="W123" s="1083"/>
      <c r="X123" s="1083"/>
      <c r="Y123" s="1083"/>
      <c r="Z123" s="1083"/>
      <c r="AA123" s="1559"/>
      <c r="AB123" s="1083"/>
      <c r="AC123" s="1716"/>
      <c r="AD123" s="565"/>
      <c r="AE123" s="1083"/>
      <c r="AF123" s="1083"/>
      <c r="AG123" s="1559"/>
      <c r="AH123" s="1559"/>
      <c r="AI123" s="1559"/>
      <c r="AJ123" s="1559"/>
      <c r="AK123" s="1559"/>
      <c r="AL123" s="1559"/>
      <c r="AM123" s="1559"/>
      <c r="AN123" s="1559"/>
      <c r="AO123" s="1559"/>
      <c r="AP123" s="1559"/>
      <c r="AQ123" s="1559"/>
      <c r="AR123" s="1559"/>
      <c r="AS123" s="1559"/>
      <c r="AT123" s="1559"/>
      <c r="AU123" s="1559"/>
      <c r="AV123" s="1559"/>
      <c r="AW123" s="1559"/>
      <c r="AX123" s="1559"/>
      <c r="AY123" s="1559"/>
      <c r="AZ123" s="1559"/>
      <c r="BA123" s="1559"/>
      <c r="BB123" s="1559"/>
      <c r="BC123" s="1559"/>
      <c r="BD123" s="1559"/>
      <c r="BE123" s="1559"/>
      <c r="BF123" s="1559"/>
      <c r="BG123" s="1559"/>
      <c r="BH123" s="1559"/>
      <c r="BI123" s="1559"/>
      <c r="BJ123" s="1559"/>
      <c r="BK123" s="1559"/>
      <c r="BL123" s="1559"/>
      <c r="BM123" s="1559"/>
      <c r="BN123" s="1559"/>
      <c r="BO123" s="1559"/>
      <c r="BP123" s="1559"/>
      <c r="BQ123" s="1559"/>
      <c r="BR123" s="1559"/>
      <c r="BS123" s="1559"/>
      <c r="BT123" s="1559"/>
      <c r="BU123" s="1559"/>
      <c r="BV123" s="1083"/>
      <c r="BW123" s="1083"/>
      <c r="BX123" s="1083"/>
      <c r="BY123" s="1083"/>
      <c r="BZ123" s="1083"/>
      <c r="CA123" s="1083"/>
      <c r="CB123" s="1083"/>
      <c r="CC123" s="1083"/>
      <c r="CD123" s="1083"/>
      <c r="CE123" s="1083"/>
    </row>
    <row r="125" spans="1:83" s="1735" customFormat="1" ht="11.25" customHeight="1">
      <c r="A125" s="1735" t="s">
        <v>2108</v>
      </c>
    </row>
    <row r="127" spans="1:83" s="1767" customFormat="1" ht="15" hidden="1" customHeight="1">
      <c r="A127" s="559"/>
      <c r="B127" s="560"/>
      <c r="C127" s="560"/>
      <c r="D127" s="2610" t="s">
        <v>100</v>
      </c>
      <c r="E127" s="2613" t="s">
        <v>119</v>
      </c>
      <c r="F127" s="2614"/>
      <c r="G127" s="2615"/>
      <c r="H127" s="2616" t="str">
        <f>IF(A127="","",INDEX(DIFFERENTIATION_UNMERGE_VD,MATCH(A127,DIFFERENTIATION_ID_DIFF,0)))</f>
        <v/>
      </c>
      <c r="I127" s="2616"/>
      <c r="J127" s="2616"/>
      <c r="K127" s="2616"/>
      <c r="L127" s="2616"/>
      <c r="M127" s="2616"/>
      <c r="N127" s="2616"/>
      <c r="O127" s="2616"/>
      <c r="P127" s="2616"/>
      <c r="Q127" s="2616"/>
      <c r="R127" s="2616"/>
      <c r="S127" s="655"/>
      <c r="T127" s="652"/>
      <c r="U127" s="561"/>
      <c r="V127" s="561"/>
      <c r="W127" s="562"/>
      <c r="X127" s="562"/>
      <c r="Y127" s="562"/>
      <c r="Z127" s="562"/>
      <c r="AA127" s="563"/>
      <c r="AB127" s="564"/>
      <c r="AC127" s="2617"/>
      <c r="AD127" s="565"/>
      <c r="AE127" s="566" t="s">
        <v>22</v>
      </c>
      <c r="AF127" s="566"/>
      <c r="AG127" s="567" t="s">
        <v>643</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67" customFormat="1" ht="15" hidden="1" customHeight="1">
      <c r="A128" s="559"/>
      <c r="B128" s="560"/>
      <c r="C128" s="560"/>
      <c r="D128" s="2611"/>
      <c r="E128" s="2613" t="s">
        <v>581</v>
      </c>
      <c r="F128" s="2614"/>
      <c r="G128" s="2615"/>
      <c r="H128" s="2616" t="str">
        <f>IF(A127="","",INDEX(DIFFERENTIATION_UNMERGE_AREA,MATCH(A127,DIFFERENTIATION_ID_DIFF,0)))</f>
        <v/>
      </c>
      <c r="I128" s="2616"/>
      <c r="J128" s="2616"/>
      <c r="K128" s="2616"/>
      <c r="L128" s="2616"/>
      <c r="M128" s="2616"/>
      <c r="N128" s="2616"/>
      <c r="O128" s="2616"/>
      <c r="P128" s="2616"/>
      <c r="Q128" s="2616"/>
      <c r="R128" s="2616"/>
      <c r="S128" s="655"/>
      <c r="T128" s="652"/>
      <c r="U128" s="561"/>
      <c r="V128" s="561"/>
      <c r="W128" s="562"/>
      <c r="X128" s="562"/>
      <c r="Y128" s="562"/>
      <c r="Z128" s="562"/>
      <c r="AA128" s="563"/>
      <c r="AB128" s="564"/>
      <c r="AC128" s="2617"/>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67" customFormat="1" ht="15" hidden="1" customHeight="1">
      <c r="A129" s="559"/>
      <c r="B129" s="560"/>
      <c r="C129" s="560"/>
      <c r="D129" s="2611"/>
      <c r="E129" s="2613" t="s">
        <v>582</v>
      </c>
      <c r="F129" s="2614"/>
      <c r="G129" s="2615"/>
      <c r="H129" s="2616" t="str">
        <f>IF(A127="","",INDEX(DIFFERENTIATION_UNMERGE_SYSTEM,MATCH(A127,DIFFERENTIATION_ID_DIFF,0)))</f>
        <v/>
      </c>
      <c r="I129" s="2616"/>
      <c r="J129" s="2616"/>
      <c r="K129" s="2616"/>
      <c r="L129" s="2616"/>
      <c r="M129" s="2616"/>
      <c r="N129" s="2616"/>
      <c r="O129" s="2616"/>
      <c r="P129" s="2616"/>
      <c r="Q129" s="2616"/>
      <c r="R129" s="2616"/>
      <c r="S129" s="655"/>
      <c r="T129" s="652"/>
      <c r="U129" s="561"/>
      <c r="V129" s="561"/>
      <c r="W129" s="562"/>
      <c r="X129" s="562"/>
      <c r="Y129" s="562"/>
      <c r="Z129" s="562"/>
      <c r="AA129" s="563"/>
      <c r="AB129" s="564"/>
      <c r="AC129" s="2617"/>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67" customFormat="1" ht="24.75" hidden="1" customHeight="1">
      <c r="A130" s="1726"/>
      <c r="B130" s="1083"/>
      <c r="C130" s="348"/>
      <c r="D130" s="2611"/>
      <c r="E130" s="2618" t="s">
        <v>644</v>
      </c>
      <c r="F130" s="2618"/>
      <c r="G130" s="2618"/>
      <c r="H130" s="2618"/>
      <c r="I130" s="2618"/>
      <c r="J130" s="2618"/>
      <c r="K130" s="2618"/>
      <c r="L130" s="2618"/>
      <c r="M130" s="2618"/>
      <c r="N130" s="2618"/>
      <c r="O130" s="2618"/>
      <c r="P130" s="2618"/>
      <c r="Q130" s="494">
        <f>SUMIF(T131:T132,"i",Q131:Q132)</f>
        <v>0</v>
      </c>
      <c r="R130" s="944"/>
      <c r="S130" s="1718" t="s">
        <v>645</v>
      </c>
      <c r="T130" s="653" t="s">
        <v>646</v>
      </c>
      <c r="U130" s="2505">
        <v>1</v>
      </c>
      <c r="V130" s="2505" t="e">
        <f>INDEX(B_FHD_FLAG_INDEX_1,1,MATCH(A127,B_FHD_FLAG_DIFFERENTIATION,0))</f>
        <v>#N/A</v>
      </c>
      <c r="W130" s="1083"/>
      <c r="X130" s="1083"/>
      <c r="Y130" s="1083"/>
      <c r="Z130" s="1083"/>
      <c r="AA130" s="1559"/>
      <c r="AB130" s="1083"/>
      <c r="AC130" s="2617"/>
      <c r="AD130" s="565"/>
      <c r="AE130" s="1083"/>
      <c r="AF130" s="1083"/>
      <c r="AG130" s="1559"/>
      <c r="AH130" s="1559"/>
      <c r="AI130" s="1559"/>
      <c r="AJ130" s="1559"/>
      <c r="AK130" s="1559"/>
      <c r="AL130" s="1559"/>
      <c r="AM130" s="1559"/>
      <c r="AN130" s="1559"/>
      <c r="AO130" s="1559"/>
      <c r="AP130" s="1559"/>
      <c r="AQ130" s="1559"/>
      <c r="AR130" s="1559"/>
      <c r="AS130" s="1559"/>
      <c r="AT130" s="1559"/>
      <c r="AU130" s="1559"/>
      <c r="AV130" s="1559"/>
      <c r="AW130" s="1559"/>
      <c r="AX130" s="1559"/>
      <c r="AY130" s="1559"/>
      <c r="AZ130" s="1559"/>
      <c r="BA130" s="1559"/>
      <c r="BB130" s="1559"/>
      <c r="BC130" s="1559"/>
      <c r="BD130" s="1559"/>
      <c r="BE130" s="1559"/>
      <c r="BF130" s="1559"/>
      <c r="BG130" s="1559"/>
      <c r="BH130" s="1559"/>
      <c r="BI130" s="1559"/>
      <c r="BJ130" s="1559"/>
      <c r="BK130" s="1559"/>
      <c r="BL130" s="1559"/>
      <c r="BM130" s="1559"/>
      <c r="BN130" s="1559"/>
      <c r="BO130" s="1559"/>
      <c r="BP130" s="1559"/>
      <c r="BQ130" s="1559"/>
      <c r="BR130" s="1559"/>
      <c r="BS130" s="1559"/>
      <c r="BT130" s="1559"/>
      <c r="BU130" s="1559"/>
      <c r="BV130" s="1083"/>
      <c r="BW130" s="1083"/>
      <c r="BX130" s="1083"/>
      <c r="BY130" s="1083"/>
      <c r="BZ130" s="1083"/>
      <c r="CA130" s="1083"/>
      <c r="CB130" s="1083"/>
      <c r="CC130" s="1083"/>
      <c r="CD130" s="1083"/>
      <c r="CE130" s="1083"/>
    </row>
    <row r="131" spans="1:83" s="1767" customFormat="1" ht="11.25" hidden="1" customHeight="1">
      <c r="A131" s="1713"/>
      <c r="B131" s="1559"/>
      <c r="C131" s="1559"/>
      <c r="D131" s="2611"/>
      <c r="E131" s="571"/>
      <c r="F131" s="571">
        <v>0</v>
      </c>
      <c r="G131" s="571"/>
      <c r="H131" s="571"/>
      <c r="I131" s="571"/>
      <c r="J131" s="571"/>
      <c r="K131" s="571"/>
      <c r="L131" s="571"/>
      <c r="M131" s="571"/>
      <c r="N131" s="571"/>
      <c r="O131" s="571"/>
      <c r="P131" s="571"/>
      <c r="Q131" s="571"/>
      <c r="R131" s="571"/>
      <c r="S131" s="572"/>
      <c r="T131" s="654"/>
      <c r="U131" s="2505"/>
      <c r="V131" s="2505"/>
      <c r="W131" s="1559"/>
      <c r="X131" s="1559"/>
      <c r="Y131" s="1559"/>
      <c r="Z131" s="1559"/>
      <c r="AA131" s="1559"/>
      <c r="AB131" s="1083"/>
      <c r="AC131" s="2617"/>
      <c r="AD131" s="565"/>
      <c r="AE131" s="1083"/>
      <c r="AF131" s="1083"/>
      <c r="AG131" s="1559"/>
      <c r="AH131" s="1559"/>
      <c r="AI131" s="1559"/>
      <c r="AJ131" s="1559"/>
      <c r="AK131" s="1559"/>
      <c r="AL131" s="1559"/>
      <c r="AM131" s="1559"/>
      <c r="AN131" s="1559"/>
      <c r="AO131" s="1559"/>
      <c r="AP131" s="1559"/>
      <c r="AQ131" s="1559"/>
      <c r="AR131" s="1559"/>
      <c r="AS131" s="1559"/>
      <c r="AT131" s="1559"/>
      <c r="AU131" s="1559"/>
      <c r="AV131" s="1559"/>
      <c r="AW131" s="1559"/>
      <c r="AX131" s="1559"/>
      <c r="AY131" s="1559"/>
      <c r="AZ131" s="1559"/>
      <c r="BA131" s="1559"/>
      <c r="BB131" s="1559"/>
      <c r="BC131" s="1559"/>
      <c r="BD131" s="1559"/>
      <c r="BE131" s="1559"/>
      <c r="BF131" s="1559"/>
      <c r="BG131" s="1559"/>
      <c r="BH131" s="1559"/>
      <c r="BI131" s="1559"/>
      <c r="BJ131" s="1559"/>
      <c r="BK131" s="1559"/>
      <c r="BL131" s="1559"/>
      <c r="BM131" s="1559"/>
      <c r="BN131" s="1559"/>
      <c r="BO131" s="1559"/>
      <c r="BP131" s="1559"/>
      <c r="BQ131" s="1559"/>
      <c r="BR131" s="1559"/>
      <c r="BS131" s="1559"/>
      <c r="BT131" s="1559"/>
      <c r="BU131" s="1559"/>
      <c r="BV131" s="1559"/>
      <c r="BW131" s="1559"/>
      <c r="BX131" s="1559"/>
      <c r="BY131" s="1559"/>
      <c r="BZ131" s="1559"/>
      <c r="CA131" s="1559"/>
      <c r="CB131" s="1559"/>
      <c r="CC131" s="1559"/>
      <c r="CD131" s="1559"/>
      <c r="CE131" s="1559"/>
    </row>
    <row r="132" spans="1:83" s="1767" customFormat="1" ht="11.25" hidden="1" customHeight="1">
      <c r="A132" s="1726"/>
      <c r="B132" s="1083"/>
      <c r="C132" s="348"/>
      <c r="D132" s="2611"/>
      <c r="E132" s="585" t="s">
        <v>22</v>
      </c>
      <c r="F132" s="1091" t="s">
        <v>22</v>
      </c>
      <c r="G132" s="1091" t="s">
        <v>681</v>
      </c>
      <c r="H132" s="587" t="s">
        <v>22</v>
      </c>
      <c r="I132" s="587"/>
      <c r="J132" s="587"/>
      <c r="K132" s="587"/>
      <c r="L132" s="587"/>
      <c r="M132" s="587"/>
      <c r="N132" s="587"/>
      <c r="O132" s="587"/>
      <c r="P132" s="587"/>
      <c r="Q132" s="587"/>
      <c r="R132" s="588"/>
      <c r="S132" s="589"/>
      <c r="T132" s="654"/>
      <c r="U132" s="2505"/>
      <c r="V132" s="2505"/>
      <c r="W132" s="1083"/>
      <c r="X132" s="1083"/>
      <c r="Y132" s="1083"/>
      <c r="Z132" s="1083"/>
      <c r="AA132" s="1559"/>
      <c r="AB132" s="1083"/>
      <c r="AC132" s="2617"/>
      <c r="AD132" s="565"/>
      <c r="AE132" s="1083"/>
      <c r="AF132" s="1083"/>
      <c r="AG132" s="1559"/>
      <c r="AH132" s="1559"/>
      <c r="AI132" s="1559"/>
      <c r="AJ132" s="1559"/>
      <c r="AK132" s="1559"/>
      <c r="AL132" s="1559"/>
      <c r="AM132" s="1559"/>
      <c r="AN132" s="1559"/>
      <c r="AO132" s="1559"/>
      <c r="AP132" s="1559"/>
      <c r="AQ132" s="1559"/>
      <c r="AR132" s="1559"/>
      <c r="AS132" s="1559"/>
      <c r="AT132" s="1559"/>
      <c r="AU132" s="1559"/>
      <c r="AV132" s="1559"/>
      <c r="AW132" s="1559"/>
      <c r="AX132" s="1559"/>
      <c r="AY132" s="1559"/>
      <c r="AZ132" s="1559"/>
      <c r="BA132" s="1559"/>
      <c r="BB132" s="1559"/>
      <c r="BC132" s="1559"/>
      <c r="BD132" s="1559"/>
      <c r="BE132" s="1559"/>
      <c r="BF132" s="1559"/>
      <c r="BG132" s="1559"/>
      <c r="BH132" s="1559"/>
      <c r="BI132" s="1559"/>
      <c r="BJ132" s="1559"/>
      <c r="BK132" s="1559"/>
      <c r="BL132" s="1559"/>
      <c r="BM132" s="1559"/>
      <c r="BN132" s="1559"/>
      <c r="BO132" s="1559"/>
      <c r="BP132" s="1559"/>
      <c r="BQ132" s="1559"/>
      <c r="BR132" s="1559"/>
      <c r="BS132" s="1559"/>
      <c r="BT132" s="1559"/>
      <c r="BU132" s="1559"/>
      <c r="BV132" s="1083"/>
      <c r="BW132" s="1083"/>
      <c r="BX132" s="1083"/>
      <c r="BY132" s="1083"/>
      <c r="BZ132" s="1083"/>
      <c r="CA132" s="1083"/>
      <c r="CB132" s="1083"/>
      <c r="CC132" s="1083"/>
      <c r="CD132" s="1083"/>
      <c r="CE132" s="1083"/>
    </row>
    <row r="133" spans="1:83" s="1239" customFormat="1" ht="5.25" hidden="1" customHeight="1">
      <c r="A133" s="1713"/>
      <c r="B133" s="1559"/>
      <c r="C133" s="1559"/>
      <c r="D133" s="2611"/>
      <c r="E133" s="966"/>
      <c r="F133" s="966"/>
      <c r="G133" s="966"/>
      <c r="H133" s="966"/>
      <c r="I133" s="966"/>
      <c r="J133" s="966"/>
      <c r="K133" s="966"/>
      <c r="L133" s="966"/>
      <c r="M133" s="966"/>
      <c r="N133" s="966"/>
      <c r="O133" s="966"/>
      <c r="P133" s="966"/>
      <c r="Q133" s="967"/>
      <c r="R133" s="968"/>
      <c r="S133" s="969"/>
      <c r="T133" s="653" t="s">
        <v>646</v>
      </c>
      <c r="U133" s="2505">
        <v>1</v>
      </c>
      <c r="V133" s="2505" t="s">
        <v>600</v>
      </c>
      <c r="W133" s="1559"/>
      <c r="X133" s="1559"/>
      <c r="Y133" s="1559"/>
      <c r="Z133" s="1559"/>
      <c r="AA133" s="1559"/>
      <c r="AB133" s="1559"/>
      <c r="AC133" s="964"/>
      <c r="AD133" s="965"/>
      <c r="AE133" s="1559"/>
      <c r="AF133" s="1559"/>
      <c r="AG133" s="1559"/>
      <c r="AH133" s="1559"/>
      <c r="AI133" s="1559"/>
      <c r="AJ133" s="1559"/>
      <c r="AK133" s="1559"/>
      <c r="AL133" s="1559"/>
      <c r="AM133" s="1559"/>
      <c r="AN133" s="1559"/>
      <c r="AO133" s="1559"/>
      <c r="AP133" s="1559"/>
      <c r="AQ133" s="1559"/>
      <c r="AR133" s="1559"/>
      <c r="AS133" s="1559"/>
      <c r="AT133" s="1559"/>
      <c r="AU133" s="1559"/>
      <c r="AV133" s="1559"/>
      <c r="AW133" s="1559"/>
      <c r="AX133" s="1559"/>
      <c r="AY133" s="1559"/>
      <c r="AZ133" s="1559"/>
      <c r="BA133" s="1559"/>
      <c r="BB133" s="1559"/>
      <c r="BC133" s="1559"/>
      <c r="BD133" s="1559"/>
      <c r="BE133" s="1559"/>
      <c r="BF133" s="1559"/>
      <c r="BG133" s="1559"/>
      <c r="BH133" s="1559"/>
      <c r="BI133" s="1559"/>
      <c r="BJ133" s="1559"/>
      <c r="BK133" s="1559"/>
      <c r="BL133" s="1559"/>
      <c r="BM133" s="1559"/>
      <c r="BN133" s="1559"/>
      <c r="BO133" s="1559"/>
      <c r="BP133" s="1559"/>
      <c r="BQ133" s="1559"/>
      <c r="BR133" s="1559"/>
      <c r="BS133" s="1559"/>
      <c r="BT133" s="1559"/>
      <c r="BU133" s="1559"/>
      <c r="BV133" s="1559"/>
      <c r="BW133" s="1559"/>
      <c r="BX133" s="1559"/>
      <c r="BY133" s="1559"/>
      <c r="BZ133" s="1559"/>
      <c r="CA133" s="1559"/>
      <c r="CB133" s="1559"/>
      <c r="CC133" s="1559"/>
      <c r="CD133" s="1559"/>
      <c r="CE133" s="1559"/>
    </row>
    <row r="134" spans="1:83" s="1239" customFormat="1" ht="5.25" hidden="1" customHeight="1">
      <c r="A134" s="1713"/>
      <c r="B134" s="1559"/>
      <c r="C134" s="1559"/>
      <c r="D134" s="2611"/>
      <c r="E134" s="571"/>
      <c r="F134" s="571"/>
      <c r="G134" s="571"/>
      <c r="H134" s="571"/>
      <c r="I134" s="571"/>
      <c r="J134" s="571"/>
      <c r="K134" s="571"/>
      <c r="L134" s="571"/>
      <c r="M134" s="571"/>
      <c r="N134" s="571"/>
      <c r="O134" s="571"/>
      <c r="P134" s="571"/>
      <c r="Q134" s="571"/>
      <c r="R134" s="571"/>
      <c r="S134" s="572"/>
      <c r="T134" s="654"/>
      <c r="U134" s="2505"/>
      <c r="V134" s="2505"/>
      <c r="W134" s="1559"/>
      <c r="X134" s="1559"/>
      <c r="Y134" s="1559"/>
      <c r="Z134" s="1559"/>
      <c r="AA134" s="1559"/>
      <c r="AB134" s="1559"/>
      <c r="AC134" s="964"/>
      <c r="AD134" s="965"/>
      <c r="AE134" s="1559"/>
      <c r="AF134" s="1559"/>
      <c r="AG134" s="1559"/>
      <c r="AH134" s="1559"/>
      <c r="AI134" s="1559"/>
      <c r="AJ134" s="1559"/>
      <c r="AK134" s="1559"/>
      <c r="AL134" s="1559"/>
      <c r="AM134" s="1559"/>
      <c r="AN134" s="1559"/>
      <c r="AO134" s="1559"/>
      <c r="AP134" s="1559"/>
      <c r="AQ134" s="1559"/>
      <c r="AR134" s="1559"/>
      <c r="AS134" s="1559"/>
      <c r="AT134" s="1559"/>
      <c r="AU134" s="1559"/>
      <c r="AV134" s="1559"/>
      <c r="AW134" s="1559"/>
      <c r="AX134" s="1559"/>
      <c r="AY134" s="1559"/>
      <c r="AZ134" s="1559"/>
      <c r="BA134" s="1559"/>
      <c r="BB134" s="1559"/>
      <c r="BC134" s="1559"/>
      <c r="BD134" s="1559"/>
      <c r="BE134" s="1559"/>
      <c r="BF134" s="1559"/>
      <c r="BG134" s="1559"/>
      <c r="BH134" s="1559"/>
      <c r="BI134" s="1559"/>
      <c r="BJ134" s="1559"/>
      <c r="BK134" s="1559"/>
      <c r="BL134" s="1559"/>
      <c r="BM134" s="1559"/>
      <c r="BN134" s="1559"/>
      <c r="BO134" s="1559"/>
      <c r="BP134" s="1559"/>
      <c r="BQ134" s="1559"/>
      <c r="BR134" s="1559"/>
      <c r="BS134" s="1559"/>
      <c r="BT134" s="1559"/>
      <c r="BU134" s="1559"/>
      <c r="BV134" s="1559"/>
      <c r="BW134" s="1559"/>
      <c r="BX134" s="1559"/>
      <c r="BY134" s="1559"/>
      <c r="BZ134" s="1559"/>
      <c r="CA134" s="1559"/>
      <c r="CB134" s="1559"/>
      <c r="CC134" s="1559"/>
      <c r="CD134" s="1559"/>
      <c r="CE134" s="1559"/>
    </row>
    <row r="135" spans="1:83" s="1239" customFormat="1" ht="5.25" hidden="1" customHeight="1">
      <c r="A135" s="1713"/>
      <c r="B135" s="1559"/>
      <c r="C135" s="1559"/>
      <c r="D135" s="2612"/>
      <c r="E135" s="970"/>
      <c r="F135" s="971"/>
      <c r="G135" s="971"/>
      <c r="H135" s="972"/>
      <c r="I135" s="972"/>
      <c r="J135" s="972"/>
      <c r="K135" s="972"/>
      <c r="L135" s="972"/>
      <c r="M135" s="972"/>
      <c r="N135" s="972"/>
      <c r="O135" s="972"/>
      <c r="P135" s="972"/>
      <c r="Q135" s="972"/>
      <c r="R135" s="874"/>
      <c r="S135" s="973"/>
      <c r="T135" s="654"/>
      <c r="U135" s="2505"/>
      <c r="V135" s="2505"/>
      <c r="W135" s="1559"/>
      <c r="X135" s="1559"/>
      <c r="Y135" s="1559"/>
      <c r="Z135" s="1559"/>
      <c r="AA135" s="1559"/>
      <c r="AB135" s="1559"/>
      <c r="AC135" s="964"/>
      <c r="AD135" s="965"/>
      <c r="AE135" s="1559"/>
      <c r="AF135" s="1559"/>
      <c r="AG135" s="1559"/>
      <c r="AH135" s="1559"/>
      <c r="AI135" s="1559"/>
      <c r="AJ135" s="1559"/>
      <c r="AK135" s="1559"/>
      <c r="AL135" s="1559"/>
      <c r="AM135" s="1559"/>
      <c r="AN135" s="1559"/>
      <c r="AO135" s="1559"/>
      <c r="AP135" s="1559"/>
      <c r="AQ135" s="1559"/>
      <c r="AR135" s="1559"/>
      <c r="AS135" s="1559"/>
      <c r="AT135" s="1559"/>
      <c r="AU135" s="1559"/>
      <c r="AV135" s="1559"/>
      <c r="AW135" s="1559"/>
      <c r="AX135" s="1559"/>
      <c r="AY135" s="1559"/>
      <c r="AZ135" s="1559"/>
      <c r="BA135" s="1559"/>
      <c r="BB135" s="1559"/>
      <c r="BC135" s="1559"/>
      <c r="BD135" s="1559"/>
      <c r="BE135" s="1559"/>
      <c r="BF135" s="1559"/>
      <c r="BG135" s="1559"/>
      <c r="BH135" s="1559"/>
      <c r="BI135" s="1559"/>
      <c r="BJ135" s="1559"/>
      <c r="BK135" s="1559"/>
      <c r="BL135" s="1559"/>
      <c r="BM135" s="1559"/>
      <c r="BN135" s="1559"/>
      <c r="BO135" s="1559"/>
      <c r="BP135" s="1559"/>
      <c r="BQ135" s="1559"/>
      <c r="BR135" s="1559"/>
      <c r="BS135" s="1559"/>
      <c r="BT135" s="1559"/>
      <c r="BU135" s="1559"/>
      <c r="BV135" s="1559"/>
      <c r="BW135" s="1559"/>
      <c r="BX135" s="1559"/>
      <c r="BY135" s="1559"/>
      <c r="BZ135" s="1559"/>
      <c r="CA135" s="1559"/>
      <c r="CB135" s="1559"/>
      <c r="CC135" s="1559"/>
      <c r="CD135" s="1559"/>
      <c r="CE135" s="1559"/>
    </row>
    <row r="136" spans="1:83" ht="17.25" customHeight="1">
      <c r="D136" s="1753"/>
    </row>
    <row r="137" spans="1:83" s="1735" customFormat="1" ht="11.25" customHeight="1">
      <c r="A137" s="1735" t="s">
        <v>2109</v>
      </c>
    </row>
    <row r="139" spans="1:83" s="1767" customFormat="1" ht="45" customHeight="1">
      <c r="A139" s="1726"/>
      <c r="B139" s="1083"/>
      <c r="C139" s="348"/>
      <c r="D139" s="28"/>
      <c r="E139" s="2599"/>
      <c r="F139" s="2365" t="s">
        <v>100</v>
      </c>
      <c r="G139" s="2602" t="s">
        <v>22</v>
      </c>
      <c r="H139" s="226"/>
      <c r="I139" s="573" t="s">
        <v>100</v>
      </c>
      <c r="J139" s="1727" t="s">
        <v>648</v>
      </c>
      <c r="K139" s="574" t="s">
        <v>563</v>
      </c>
      <c r="L139" s="2479" t="s">
        <v>563</v>
      </c>
      <c r="M139" s="2415"/>
      <c r="N139" s="574" t="s">
        <v>563</v>
      </c>
      <c r="O139" s="574" t="s">
        <v>563</v>
      </c>
      <c r="P139" s="574" t="s">
        <v>563</v>
      </c>
      <c r="Q139" s="575">
        <f>SUM(Q140:Q142)</f>
        <v>0</v>
      </c>
      <c r="R139" s="575">
        <f>IF(R136=0,0,(Q136/R136)*100)</f>
        <v>0</v>
      </c>
      <c r="S139" s="2439"/>
      <c r="T139" s="653" t="s">
        <v>646</v>
      </c>
      <c r="U139" s="28"/>
      <c r="V139" s="28"/>
      <c r="AC139" s="28"/>
    </row>
    <row r="140" spans="1:83" s="1767" customFormat="1" ht="11.25" customHeight="1">
      <c r="A140" s="1726"/>
      <c r="B140" s="1083"/>
      <c r="C140" s="348"/>
      <c r="D140" s="28"/>
      <c r="E140" s="2600"/>
      <c r="F140" s="2365"/>
      <c r="G140" s="2602"/>
      <c r="H140" s="2371"/>
      <c r="I140" s="2604" t="s">
        <v>649</v>
      </c>
      <c r="J140" s="2605"/>
      <c r="K140" s="2606"/>
      <c r="L140" s="576"/>
      <c r="M140" s="577" t="s">
        <v>100</v>
      </c>
      <c r="N140" s="1715"/>
      <c r="O140" s="578"/>
      <c r="P140" s="579"/>
      <c r="Q140" s="578"/>
      <c r="R140" s="580">
        <v>0</v>
      </c>
      <c r="S140" s="2439"/>
      <c r="T140" s="653"/>
      <c r="U140" s="28"/>
      <c r="V140" s="28"/>
      <c r="AC140" s="28"/>
    </row>
    <row r="141" spans="1:83" s="1767" customFormat="1" ht="11.25" customHeight="1">
      <c r="A141" s="1726"/>
      <c r="B141" s="1083"/>
      <c r="C141" s="348"/>
      <c r="D141" s="28"/>
      <c r="E141" s="2600"/>
      <c r="F141" s="2365"/>
      <c r="G141" s="2602"/>
      <c r="H141" s="2371"/>
      <c r="I141" s="2604"/>
      <c r="J141" s="2605"/>
      <c r="K141" s="2607"/>
      <c r="L141" s="581"/>
      <c r="M141" s="582"/>
      <c r="N141" s="583" t="s">
        <v>652</v>
      </c>
      <c r="O141" s="583"/>
      <c r="P141" s="583"/>
      <c r="Q141" s="583"/>
      <c r="R141" s="584"/>
      <c r="S141" s="2439"/>
      <c r="T141" s="653"/>
      <c r="U141" s="28"/>
      <c r="V141" s="28"/>
      <c r="AC141" s="28"/>
    </row>
    <row r="142" spans="1:83" s="1767" customFormat="1" ht="11.25" customHeight="1">
      <c r="A142" s="1726"/>
      <c r="B142" s="1083"/>
      <c r="C142" s="348"/>
      <c r="D142" s="28"/>
      <c r="E142" s="2601"/>
      <c r="F142" s="2365"/>
      <c r="G142" s="2603"/>
      <c r="H142" s="581" t="s">
        <v>22</v>
      </c>
      <c r="I142" s="582"/>
      <c r="J142" s="583" t="s">
        <v>656</v>
      </c>
      <c r="K142" s="583"/>
      <c r="L142" s="583"/>
      <c r="M142" s="583"/>
      <c r="N142" s="583"/>
      <c r="O142" s="583"/>
      <c r="P142" s="583"/>
      <c r="Q142" s="583"/>
      <c r="R142" s="584"/>
      <c r="S142" s="2439"/>
      <c r="T142" s="653"/>
      <c r="U142" s="28"/>
      <c r="V142" s="28"/>
      <c r="AC142" s="28"/>
    </row>
    <row r="147" spans="1:43" s="1767" customFormat="1" ht="11.25" customHeight="1">
      <c r="A147" s="1726"/>
      <c r="B147" s="1083"/>
      <c r="C147" s="348"/>
      <c r="D147" s="28"/>
      <c r="E147" s="1749"/>
      <c r="F147" s="1749"/>
      <c r="G147" s="1749"/>
      <c r="H147" s="2371"/>
      <c r="I147" s="2604" t="s">
        <v>649</v>
      </c>
      <c r="J147" s="2605"/>
      <c r="K147" s="2606"/>
      <c r="L147" s="576"/>
      <c r="M147" s="577" t="s">
        <v>100</v>
      </c>
      <c r="N147" s="1715"/>
      <c r="O147" s="578"/>
      <c r="P147" s="579"/>
      <c r="Q147" s="578"/>
      <c r="R147" s="580">
        <v>0</v>
      </c>
      <c r="S147" s="28"/>
      <c r="T147" s="653"/>
      <c r="U147" s="28"/>
      <c r="V147" s="28"/>
      <c r="AC147" s="28"/>
    </row>
    <row r="148" spans="1:43" s="1767" customFormat="1" ht="11.25" customHeight="1">
      <c r="A148" s="1726"/>
      <c r="B148" s="1083"/>
      <c r="C148" s="348"/>
      <c r="D148" s="28"/>
      <c r="E148" s="1749"/>
      <c r="F148" s="1749"/>
      <c r="G148" s="1749"/>
      <c r="H148" s="2371"/>
      <c r="I148" s="2604"/>
      <c r="J148" s="2605"/>
      <c r="K148" s="2607"/>
      <c r="L148" s="581"/>
      <c r="M148" s="582"/>
      <c r="N148" s="583" t="s">
        <v>652</v>
      </c>
      <c r="O148" s="583"/>
      <c r="P148" s="583"/>
      <c r="Q148" s="583"/>
      <c r="R148" s="584"/>
      <c r="S148" s="28"/>
      <c r="T148" s="653"/>
      <c r="U148" s="28"/>
      <c r="V148" s="28"/>
      <c r="AC148" s="28"/>
    </row>
    <row r="150" spans="1:43" s="1767" customFormat="1" ht="11.25" customHeight="1">
      <c r="A150" s="1726"/>
      <c r="B150" s="1083"/>
      <c r="C150" s="348"/>
      <c r="D150" s="28"/>
      <c r="E150" s="1754"/>
      <c r="F150" s="1752"/>
      <c r="G150" s="1752"/>
      <c r="H150" s="1755"/>
      <c r="I150" s="1749"/>
      <c r="J150" s="1750"/>
      <c r="K150" s="1750"/>
      <c r="L150" s="576"/>
      <c r="M150" s="577" t="s">
        <v>100</v>
      </c>
      <c r="N150" s="1715"/>
      <c r="O150" s="578"/>
      <c r="P150" s="579"/>
      <c r="Q150" s="578"/>
      <c r="R150" s="580">
        <v>0</v>
      </c>
      <c r="S150" s="28"/>
      <c r="T150" s="653"/>
      <c r="U150" s="28"/>
      <c r="V150" s="28"/>
      <c r="AC150" s="28"/>
    </row>
    <row r="152" spans="1:43" s="1735" customFormat="1" ht="17.25" customHeight="1">
      <c r="A152" s="1735" t="s">
        <v>2110</v>
      </c>
    </row>
    <row r="153" spans="1:43" ht="17.25" customHeight="1">
      <c r="G153" s="1756"/>
      <c r="H153" s="1756"/>
      <c r="I153" s="1756"/>
      <c r="M153" s="1752"/>
    </row>
    <row r="154" spans="1:43" s="1770" customFormat="1" ht="17.25" customHeight="1">
      <c r="A154" s="1757"/>
      <c r="C154" s="1759"/>
      <c r="D154" s="2773"/>
      <c r="E154" s="2403"/>
      <c r="F154" s="2405"/>
      <c r="G154" s="2774"/>
      <c r="H154" s="2773"/>
      <c r="I154" s="2773">
        <v>1</v>
      </c>
      <c r="J154" s="2759"/>
      <c r="K154" s="2445" t="s">
        <v>63</v>
      </c>
      <c r="L154" s="2365"/>
      <c r="M154" s="2365" t="s">
        <v>100</v>
      </c>
      <c r="N154" s="2760" t="str">
        <f>IF(Z154="","",INDEX(TERRITORY_MR_LIST,MATCH(Z154,TERRITORY_LIST_ID,0)))</f>
        <v/>
      </c>
      <c r="O154" s="2445" t="s">
        <v>63</v>
      </c>
      <c r="P154" s="2365"/>
      <c r="Q154" s="2365" t="s">
        <v>100</v>
      </c>
      <c r="R154" s="2607" t="s">
        <v>22</v>
      </c>
      <c r="S154" s="2360" t="s">
        <v>63</v>
      </c>
      <c r="T154" s="1731"/>
      <c r="U154" s="1731" t="s">
        <v>100</v>
      </c>
      <c r="V154" s="1760" t="s">
        <v>22</v>
      </c>
      <c r="W154" s="1721"/>
      <c r="Y154" s="1190"/>
      <c r="Z154" s="1190"/>
      <c r="AA154" s="1190"/>
      <c r="AB154" s="1190"/>
      <c r="AC154" s="1190"/>
      <c r="AD154" s="1190"/>
      <c r="AE154" s="1190"/>
      <c r="AF154" s="1190"/>
      <c r="AG154" s="1190"/>
      <c r="AH154" s="1190"/>
      <c r="AI154" s="1190"/>
      <c r="AJ154" s="1190"/>
      <c r="AK154" s="1190"/>
      <c r="AL154" s="1761"/>
      <c r="AM154" s="1761"/>
      <c r="AN154" s="1190"/>
      <c r="AO154" s="1190"/>
      <c r="AP154" s="1190"/>
      <c r="AQ154" s="1190"/>
    </row>
    <row r="155" spans="1:43" s="1770" customFormat="1" ht="17.25" customHeight="1">
      <c r="A155" s="1757"/>
      <c r="C155" s="1762"/>
      <c r="D155" s="2773"/>
      <c r="E155" s="2403"/>
      <c r="F155" s="2406"/>
      <c r="G155" s="2774"/>
      <c r="H155" s="2773"/>
      <c r="I155" s="2773"/>
      <c r="J155" s="2759"/>
      <c r="K155" s="2446"/>
      <c r="L155" s="2365"/>
      <c r="M155" s="2365"/>
      <c r="N155" s="2760"/>
      <c r="O155" s="2446"/>
      <c r="P155" s="2365"/>
      <c r="Q155" s="2365"/>
      <c r="R155" s="2607"/>
      <c r="S155" s="2360"/>
      <c r="T155" s="254"/>
      <c r="U155" s="255"/>
      <c r="V155" s="255" t="s">
        <v>433</v>
      </c>
      <c r="W155" s="256"/>
      <c r="Y155" s="1182"/>
      <c r="Z155" s="1182"/>
      <c r="AA155" s="1182"/>
      <c r="AB155" s="1182"/>
      <c r="AC155" s="1182"/>
      <c r="AD155" s="1182"/>
      <c r="AE155" s="1182"/>
      <c r="AF155" s="1182"/>
      <c r="AG155" s="1182"/>
      <c r="AH155" s="1182"/>
      <c r="AI155" s="1182"/>
      <c r="AJ155" s="1182"/>
      <c r="AK155" s="1182"/>
    </row>
    <row r="156" spans="1:43" s="1770" customFormat="1" ht="17.25" customHeight="1">
      <c r="A156" s="1757"/>
      <c r="C156" s="1762"/>
      <c r="D156" s="2372"/>
      <c r="E156" s="2404"/>
      <c r="F156" s="2406"/>
      <c r="G156" s="2775"/>
      <c r="H156" s="2372"/>
      <c r="I156" s="2372"/>
      <c r="J156" s="2776"/>
      <c r="K156" s="2446"/>
      <c r="L156" s="2372"/>
      <c r="M156" s="2372"/>
      <c r="N156" s="2761"/>
      <c r="O156" s="2375"/>
      <c r="P156" s="254"/>
      <c r="Q156" s="255"/>
      <c r="R156" s="255" t="s">
        <v>434</v>
      </c>
      <c r="S156" s="1763"/>
      <c r="T156" s="1763"/>
      <c r="U156" s="1763"/>
      <c r="V156" s="1763"/>
      <c r="W156" s="256"/>
      <c r="Y156" s="1182"/>
      <c r="Z156" s="1182"/>
      <c r="AA156" s="1182"/>
      <c r="AB156" s="1182"/>
      <c r="AC156" s="1182"/>
      <c r="AD156" s="1182"/>
      <c r="AE156" s="1182"/>
      <c r="AF156" s="1182"/>
      <c r="AG156" s="1182"/>
      <c r="AH156" s="1182"/>
      <c r="AI156" s="1182"/>
      <c r="AJ156" s="1182"/>
      <c r="AK156" s="1182"/>
    </row>
    <row r="157" spans="1:43" s="1770" customFormat="1" ht="17.25" customHeight="1">
      <c r="A157" s="1757"/>
      <c r="C157" s="1762"/>
      <c r="D157" s="2372"/>
      <c r="E157" s="2404"/>
      <c r="F157" s="2406"/>
      <c r="G157" s="2775"/>
      <c r="H157" s="2372"/>
      <c r="I157" s="2372"/>
      <c r="J157" s="2776"/>
      <c r="K157" s="2375"/>
      <c r="L157" s="254"/>
      <c r="M157" s="255"/>
      <c r="N157" s="255" t="s">
        <v>435</v>
      </c>
      <c r="O157" s="255"/>
      <c r="P157" s="255"/>
      <c r="Q157" s="255"/>
      <c r="R157" s="255"/>
      <c r="S157" s="1763"/>
      <c r="T157" s="1763"/>
      <c r="U157" s="1763"/>
      <c r="V157" s="1763"/>
      <c r="W157" s="256"/>
      <c r="Y157" s="1182"/>
      <c r="Z157" s="1182"/>
      <c r="AA157" s="1182"/>
      <c r="AB157" s="1182"/>
      <c r="AC157" s="1182"/>
      <c r="AD157" s="1182"/>
      <c r="AE157" s="1182"/>
      <c r="AF157" s="1182"/>
      <c r="AG157" s="1182"/>
      <c r="AH157" s="1182"/>
      <c r="AI157" s="1182"/>
      <c r="AJ157" s="1182"/>
      <c r="AK157" s="1182"/>
    </row>
    <row r="158" spans="1:43" s="1770" customFormat="1" ht="17.25" customHeight="1">
      <c r="A158" s="1757"/>
      <c r="C158" s="1762"/>
      <c r="D158" s="2372"/>
      <c r="E158" s="2404"/>
      <c r="F158" s="2407"/>
      <c r="G158" s="2775"/>
      <c r="H158" s="254"/>
      <c r="I158" s="255"/>
      <c r="J158" s="255" t="s">
        <v>463</v>
      </c>
      <c r="K158" s="255"/>
      <c r="L158" s="255"/>
      <c r="M158" s="255"/>
      <c r="N158" s="255"/>
      <c r="O158" s="255"/>
      <c r="P158" s="255"/>
      <c r="Q158" s="255"/>
      <c r="R158" s="255"/>
      <c r="S158" s="1763"/>
      <c r="T158" s="1763"/>
      <c r="U158" s="1763"/>
      <c r="V158" s="1763"/>
      <c r="W158" s="256"/>
      <c r="Y158" s="1182"/>
      <c r="Z158" s="1182"/>
      <c r="AA158" s="1182"/>
      <c r="AB158" s="1182"/>
      <c r="AC158" s="1182"/>
      <c r="AD158" s="1182"/>
      <c r="AE158" s="1182"/>
      <c r="AF158" s="1182"/>
      <c r="AG158" s="1182"/>
      <c r="AH158" s="1182"/>
      <c r="AI158" s="1182"/>
      <c r="AJ158" s="1182"/>
      <c r="AK158" s="1182"/>
    </row>
    <row r="159" spans="1:43" ht="17.25" customHeight="1">
      <c r="G159" s="1756"/>
      <c r="H159" s="1756"/>
      <c r="I159" s="1756"/>
      <c r="M159" s="1752"/>
    </row>
    <row r="160" spans="1:43" s="1770" customFormat="1" ht="17.25" customHeight="1">
      <c r="A160" s="1757"/>
      <c r="C160" s="1759"/>
      <c r="D160" s="1749"/>
      <c r="E160" s="1764"/>
      <c r="F160" s="1704"/>
      <c r="G160" s="1765"/>
      <c r="H160" s="2773"/>
      <c r="I160" s="2773">
        <v>1</v>
      </c>
      <c r="J160" s="2759"/>
      <c r="K160" s="2445" t="s">
        <v>63</v>
      </c>
      <c r="L160" s="2365"/>
      <c r="M160" s="2365" t="s">
        <v>100</v>
      </c>
      <c r="N160" s="2760" t="str">
        <f>IF(Z160="","",INDEX(TERRITORY_MR_LIST,MATCH(Z160,TERRITORY_LIST_ID,0)))</f>
        <v/>
      </c>
      <c r="O160" s="2445" t="s">
        <v>63</v>
      </c>
      <c r="P160" s="2365"/>
      <c r="Q160" s="2365" t="s">
        <v>100</v>
      </c>
      <c r="R160" s="2607" t="s">
        <v>22</v>
      </c>
      <c r="S160" s="2360" t="s">
        <v>63</v>
      </c>
      <c r="T160" s="1731"/>
      <c r="U160" s="1731" t="s">
        <v>100</v>
      </c>
      <c r="V160" s="1760" t="s">
        <v>22</v>
      </c>
      <c r="W160" s="1721"/>
      <c r="Y160" s="1190"/>
      <c r="Z160" s="1190"/>
      <c r="AA160" s="1190"/>
      <c r="AB160" s="1190"/>
      <c r="AC160" s="1190"/>
      <c r="AD160" s="1190"/>
      <c r="AE160" s="1190"/>
      <c r="AF160" s="1190"/>
      <c r="AG160" s="1190"/>
      <c r="AH160" s="1190"/>
      <c r="AI160" s="1190"/>
      <c r="AJ160" s="1190"/>
      <c r="AK160" s="1190"/>
      <c r="AL160" s="1761"/>
      <c r="AM160" s="1761"/>
      <c r="AN160" s="1190"/>
      <c r="AO160" s="1190"/>
      <c r="AP160" s="1190"/>
      <c r="AQ160" s="1190"/>
    </row>
    <row r="161" spans="1:43" s="1770" customFormat="1" ht="17.25" customHeight="1">
      <c r="A161" s="1757"/>
      <c r="C161" s="1762"/>
      <c r="D161" s="1749"/>
      <c r="E161" s="1764"/>
      <c r="F161" s="1704"/>
      <c r="G161" s="1765"/>
      <c r="H161" s="2773"/>
      <c r="I161" s="2773"/>
      <c r="J161" s="2759"/>
      <c r="K161" s="2446"/>
      <c r="L161" s="2365"/>
      <c r="M161" s="2365"/>
      <c r="N161" s="2760"/>
      <c r="O161" s="2446"/>
      <c r="P161" s="2365"/>
      <c r="Q161" s="2365"/>
      <c r="R161" s="2607"/>
      <c r="S161" s="2360"/>
      <c r="T161" s="254"/>
      <c r="U161" s="255"/>
      <c r="V161" s="255" t="s">
        <v>433</v>
      </c>
      <c r="W161" s="256"/>
      <c r="Y161" s="1182"/>
      <c r="Z161" s="1182"/>
      <c r="AA161" s="1182"/>
      <c r="AB161" s="1182"/>
      <c r="AC161" s="1182"/>
      <c r="AD161" s="1182"/>
      <c r="AE161" s="1182"/>
      <c r="AF161" s="1182"/>
      <c r="AG161" s="1182"/>
      <c r="AH161" s="1182"/>
      <c r="AI161" s="1182"/>
      <c r="AJ161" s="1182"/>
      <c r="AK161" s="1182"/>
    </row>
    <row r="162" spans="1:43" s="1770" customFormat="1" ht="17.25" customHeight="1">
      <c r="A162" s="1757"/>
      <c r="C162" s="1762"/>
      <c r="D162" s="1749"/>
      <c r="E162" s="1764"/>
      <c r="F162" s="1704"/>
      <c r="G162" s="1765"/>
      <c r="H162" s="2372"/>
      <c r="I162" s="2372"/>
      <c r="J162" s="2776"/>
      <c r="K162" s="2446"/>
      <c r="L162" s="2372"/>
      <c r="M162" s="2372"/>
      <c r="N162" s="2761"/>
      <c r="O162" s="2375"/>
      <c r="P162" s="254"/>
      <c r="Q162" s="255"/>
      <c r="R162" s="255" t="s">
        <v>434</v>
      </c>
      <c r="S162" s="1763"/>
      <c r="T162" s="1763"/>
      <c r="U162" s="1763"/>
      <c r="V162" s="1763"/>
      <c r="W162" s="256"/>
      <c r="Y162" s="1182"/>
      <c r="Z162" s="1182"/>
      <c r="AA162" s="1182"/>
      <c r="AB162" s="1182"/>
      <c r="AC162" s="1182"/>
      <c r="AD162" s="1182"/>
      <c r="AE162" s="1182"/>
      <c r="AF162" s="1182"/>
      <c r="AG162" s="1182"/>
      <c r="AH162" s="1182"/>
      <c r="AI162" s="1182"/>
      <c r="AJ162" s="1182"/>
      <c r="AK162" s="1182"/>
    </row>
    <row r="163" spans="1:43" s="1770" customFormat="1" ht="17.25" customHeight="1">
      <c r="A163" s="1757"/>
      <c r="C163" s="1762"/>
      <c r="D163" s="1749"/>
      <c r="E163" s="1764"/>
      <c r="F163" s="1704"/>
      <c r="G163" s="1765"/>
      <c r="H163" s="2372"/>
      <c r="I163" s="2372"/>
      <c r="J163" s="2776"/>
      <c r="K163" s="2375"/>
      <c r="L163" s="254"/>
      <c r="M163" s="255"/>
      <c r="N163" s="255" t="s">
        <v>435</v>
      </c>
      <c r="O163" s="255"/>
      <c r="P163" s="255"/>
      <c r="Q163" s="255"/>
      <c r="R163" s="255"/>
      <c r="S163" s="1763"/>
      <c r="T163" s="1763"/>
      <c r="U163" s="1763"/>
      <c r="V163" s="1763"/>
      <c r="W163" s="256"/>
      <c r="Y163" s="1182"/>
      <c r="Z163" s="1182"/>
      <c r="AA163" s="1182"/>
      <c r="AB163" s="1182"/>
      <c r="AC163" s="1182"/>
      <c r="AD163" s="1182"/>
      <c r="AE163" s="1182"/>
      <c r="AF163" s="1182"/>
      <c r="AG163" s="1182"/>
      <c r="AH163" s="1182"/>
      <c r="AI163" s="1182"/>
      <c r="AJ163" s="1182"/>
      <c r="AK163" s="1182"/>
    </row>
    <row r="164" spans="1:43" ht="17.25" customHeight="1">
      <c r="G164" s="1756"/>
      <c r="H164" s="1756"/>
      <c r="I164" s="1756"/>
      <c r="M164" s="1752"/>
    </row>
    <row r="165" spans="1:43" s="1770" customFormat="1" ht="17.25" customHeight="1">
      <c r="A165" s="1757"/>
      <c r="C165" s="1759"/>
      <c r="D165" s="1749"/>
      <c r="E165" s="1764"/>
      <c r="F165" s="1704"/>
      <c r="G165" s="1765"/>
      <c r="H165" s="1749"/>
      <c r="I165" s="1749"/>
      <c r="J165" s="1766"/>
      <c r="K165" s="1681"/>
      <c r="L165" s="2365"/>
      <c r="M165" s="2365" t="s">
        <v>100</v>
      </c>
      <c r="N165" s="2760" t="str">
        <f>IF(Z165="","",INDEX(TERRITORY_MR_LIST,MATCH(Z165,TERRITORY_LIST_ID,0)))</f>
        <v/>
      </c>
      <c r="O165" s="2445" t="s">
        <v>63</v>
      </c>
      <c r="P165" s="2365"/>
      <c r="Q165" s="2365" t="s">
        <v>100</v>
      </c>
      <c r="R165" s="2607" t="s">
        <v>22</v>
      </c>
      <c r="S165" s="2360" t="s">
        <v>63</v>
      </c>
      <c r="T165" s="1731"/>
      <c r="U165" s="1731" t="s">
        <v>100</v>
      </c>
      <c r="V165" s="1760" t="s">
        <v>22</v>
      </c>
      <c r="W165" s="1721"/>
      <c r="Y165" s="1190"/>
      <c r="Z165" s="1190"/>
      <c r="AA165" s="1190"/>
      <c r="AB165" s="1190"/>
      <c r="AC165" s="1190"/>
      <c r="AD165" s="1190"/>
      <c r="AE165" s="1190"/>
      <c r="AF165" s="1190"/>
      <c r="AG165" s="1190"/>
      <c r="AH165" s="1190"/>
      <c r="AI165" s="1190"/>
      <c r="AJ165" s="1190"/>
      <c r="AK165" s="1190"/>
      <c r="AL165" s="1761"/>
      <c r="AM165" s="1761"/>
      <c r="AN165" s="1190"/>
      <c r="AO165" s="1190"/>
      <c r="AP165" s="1190"/>
      <c r="AQ165" s="1190"/>
    </row>
    <row r="166" spans="1:43" s="1770" customFormat="1" ht="17.25" customHeight="1">
      <c r="A166" s="1757"/>
      <c r="C166" s="1762"/>
      <c r="D166" s="1749"/>
      <c r="E166" s="1764"/>
      <c r="F166" s="1704"/>
      <c r="G166" s="1765"/>
      <c r="H166" s="1749"/>
      <c r="I166" s="1749"/>
      <c r="J166" s="1766"/>
      <c r="K166" s="1681"/>
      <c r="L166" s="2365"/>
      <c r="M166" s="2365"/>
      <c r="N166" s="2760"/>
      <c r="O166" s="2446"/>
      <c r="P166" s="2365"/>
      <c r="Q166" s="2365"/>
      <c r="R166" s="2607"/>
      <c r="S166" s="2360"/>
      <c r="T166" s="254"/>
      <c r="U166" s="255"/>
      <c r="V166" s="255" t="s">
        <v>433</v>
      </c>
      <c r="W166" s="256"/>
      <c r="Y166" s="1182"/>
      <c r="Z166" s="1182"/>
      <c r="AA166" s="1182"/>
      <c r="AB166" s="1182"/>
      <c r="AC166" s="1182"/>
      <c r="AD166" s="1182"/>
      <c r="AE166" s="1182"/>
      <c r="AF166" s="1182"/>
      <c r="AG166" s="1182"/>
      <c r="AH166" s="1182"/>
      <c r="AI166" s="1182"/>
      <c r="AJ166" s="1182"/>
      <c r="AK166" s="1182"/>
    </row>
    <row r="167" spans="1:43" s="1770" customFormat="1" ht="17.25" customHeight="1">
      <c r="A167" s="1757"/>
      <c r="C167" s="1762"/>
      <c r="D167" s="1749"/>
      <c r="E167" s="1764"/>
      <c r="F167" s="1704"/>
      <c r="G167" s="1765"/>
      <c r="H167" s="1749"/>
      <c r="I167" s="1749"/>
      <c r="J167" s="1766"/>
      <c r="K167" s="1681"/>
      <c r="L167" s="2372"/>
      <c r="M167" s="2372"/>
      <c r="N167" s="2761"/>
      <c r="O167" s="2375"/>
      <c r="P167" s="254"/>
      <c r="Q167" s="255"/>
      <c r="R167" s="255" t="s">
        <v>434</v>
      </c>
      <c r="S167" s="1763"/>
      <c r="T167" s="1763"/>
      <c r="U167" s="1763"/>
      <c r="V167" s="1763"/>
      <c r="W167" s="256"/>
      <c r="Y167" s="1182"/>
      <c r="Z167" s="1182"/>
      <c r="AA167" s="1182"/>
      <c r="AB167" s="1182"/>
      <c r="AC167" s="1182"/>
      <c r="AD167" s="1182"/>
      <c r="AE167" s="1182"/>
      <c r="AF167" s="1182"/>
      <c r="AG167" s="1182"/>
      <c r="AH167" s="1182"/>
      <c r="AI167" s="1182"/>
      <c r="AJ167" s="1182"/>
      <c r="AK167" s="1182"/>
    </row>
    <row r="168" spans="1:43" ht="17.25" customHeight="1">
      <c r="G168" s="1756"/>
      <c r="H168" s="1756"/>
      <c r="I168" s="1756"/>
      <c r="M168" s="1752"/>
    </row>
    <row r="169" spans="1:43" s="1770" customFormat="1" ht="17.25" customHeight="1">
      <c r="A169" s="1757"/>
      <c r="C169" s="1759"/>
      <c r="D169" s="1749"/>
      <c r="E169" s="1764"/>
      <c r="F169" s="1704"/>
      <c r="G169" s="1765"/>
      <c r="H169" s="1749"/>
      <c r="I169" s="1749"/>
      <c r="J169" s="1766"/>
      <c r="K169" s="1681"/>
      <c r="L169" s="1677"/>
      <c r="M169" s="1677"/>
      <c r="N169" s="1962"/>
      <c r="O169" s="1707"/>
      <c r="P169" s="2365"/>
      <c r="Q169" s="2365" t="s">
        <v>100</v>
      </c>
      <c r="R169" s="2607" t="s">
        <v>22</v>
      </c>
      <c r="S169" s="2360" t="s">
        <v>63</v>
      </c>
      <c r="T169" s="1731"/>
      <c r="U169" s="1731" t="s">
        <v>100</v>
      </c>
      <c r="V169" s="1760" t="s">
        <v>22</v>
      </c>
      <c r="W169" s="1721"/>
      <c r="Y169" s="1190"/>
      <c r="Z169" s="1190"/>
      <c r="AA169" s="1190"/>
      <c r="AB169" s="1190"/>
      <c r="AC169" s="1190"/>
      <c r="AD169" s="1190"/>
      <c r="AE169" s="1190"/>
      <c r="AF169" s="1190"/>
      <c r="AG169" s="1190"/>
      <c r="AH169" s="1190"/>
      <c r="AI169" s="1190"/>
      <c r="AJ169" s="1190"/>
      <c r="AK169" s="1190"/>
      <c r="AL169" s="1761"/>
      <c r="AM169" s="1761"/>
      <c r="AN169" s="1190"/>
      <c r="AO169" s="1190"/>
      <c r="AP169" s="1190"/>
      <c r="AQ169" s="1190"/>
    </row>
    <row r="170" spans="1:43" s="1770" customFormat="1" ht="17.25" customHeight="1">
      <c r="A170" s="1757"/>
      <c r="C170" s="1762"/>
      <c r="D170" s="1749"/>
      <c r="E170" s="1764"/>
      <c r="F170" s="1704"/>
      <c r="G170" s="1765"/>
      <c r="H170" s="1749"/>
      <c r="I170" s="1749"/>
      <c r="J170" s="1766"/>
      <c r="K170" s="1681"/>
      <c r="L170" s="1677"/>
      <c r="M170" s="1677"/>
      <c r="N170" s="1962"/>
      <c r="O170" s="1707"/>
      <c r="P170" s="2365"/>
      <c r="Q170" s="2365"/>
      <c r="R170" s="2607"/>
      <c r="S170" s="2360"/>
      <c r="T170" s="254"/>
      <c r="U170" s="255"/>
      <c r="V170" s="255" t="s">
        <v>433</v>
      </c>
      <c r="W170" s="256"/>
      <c r="Y170" s="1182"/>
      <c r="Z170" s="1182"/>
      <c r="AA170" s="1182"/>
      <c r="AB170" s="1182"/>
      <c r="AC170" s="1182"/>
      <c r="AD170" s="1182"/>
      <c r="AE170" s="1182"/>
      <c r="AF170" s="1182"/>
      <c r="AG170" s="1182"/>
      <c r="AH170" s="1182"/>
      <c r="AI170" s="1182"/>
      <c r="AJ170" s="1182"/>
      <c r="AK170" s="1182"/>
    </row>
    <row r="171" spans="1:43" ht="17.25" customHeight="1">
      <c r="G171" s="1756"/>
      <c r="H171" s="1756"/>
      <c r="I171" s="1756"/>
      <c r="M171" s="1752"/>
    </row>
    <row r="172" spans="1:43" s="1770" customFormat="1" ht="17.25" customHeight="1">
      <c r="A172" s="1757"/>
      <c r="C172" s="1759"/>
      <c r="D172" s="1749"/>
      <c r="E172" s="1764"/>
      <c r="F172" s="1704"/>
      <c r="G172" s="1765"/>
      <c r="H172" s="1677"/>
      <c r="I172" s="1677"/>
      <c r="J172" s="1678"/>
      <c r="K172" s="1765"/>
      <c r="L172" s="1677"/>
      <c r="M172" s="1677"/>
      <c r="N172" s="1765"/>
      <c r="O172" s="1765"/>
      <c r="P172" s="1677"/>
      <c r="Q172" s="1677"/>
      <c r="R172" s="1679"/>
      <c r="S172" s="1765"/>
      <c r="T172" s="1731"/>
      <c r="U172" s="1731" t="s">
        <v>100</v>
      </c>
      <c r="V172" s="1760" t="s">
        <v>22</v>
      </c>
      <c r="W172" s="1721"/>
      <c r="Y172" s="1190"/>
      <c r="Z172" s="1190"/>
      <c r="AA172" s="1190"/>
      <c r="AB172" s="1190"/>
      <c r="AC172" s="1190"/>
      <c r="AD172" s="1190"/>
      <c r="AE172" s="1190"/>
      <c r="AF172" s="1190"/>
      <c r="AG172" s="1190"/>
      <c r="AH172" s="1190"/>
      <c r="AI172" s="1190"/>
      <c r="AJ172" s="1190"/>
      <c r="AK172" s="1190"/>
      <c r="AL172" s="1761"/>
      <c r="AM172" s="1761"/>
      <c r="AN172" s="1190"/>
      <c r="AO172" s="1190"/>
      <c r="AP172" s="1190"/>
      <c r="AQ172" s="1190"/>
    </row>
    <row r="174" spans="1:43" s="1735" customFormat="1" ht="17.25" customHeight="1">
      <c r="A174" s="1735" t="s">
        <v>2111</v>
      </c>
    </row>
    <row r="175" spans="1:43" ht="17.25" customHeight="1">
      <c r="G175" s="1756"/>
      <c r="H175" s="1756"/>
      <c r="I175" s="1756"/>
      <c r="M175" s="1752"/>
    </row>
    <row r="176" spans="1:43" s="1770" customFormat="1" ht="17.25" customHeight="1">
      <c r="A176" s="1757"/>
      <c r="C176" s="1759"/>
      <c r="D176" s="2773"/>
      <c r="E176" s="2403"/>
      <c r="F176" s="2405"/>
      <c r="G176" s="2774"/>
      <c r="H176" s="2773"/>
      <c r="I176" s="2773">
        <v>1</v>
      </c>
      <c r="J176" s="2759"/>
      <c r="K176" s="2445" t="s">
        <v>63</v>
      </c>
      <c r="L176" s="2365"/>
      <c r="M176" s="2365" t="s">
        <v>100</v>
      </c>
      <c r="N176" s="2760" t="str">
        <f>IF(Z176="","",INDEX(TERRITORY_MR_LIST,MATCH(Z176,TERRITORY_LIST_ID,0)))</f>
        <v/>
      </c>
      <c r="O176" s="2445" t="s">
        <v>63</v>
      </c>
      <c r="P176" s="2365"/>
      <c r="Q176" s="2365" t="s">
        <v>100</v>
      </c>
      <c r="R176" s="2607" t="s">
        <v>22</v>
      </c>
      <c r="S176" s="2655" t="s">
        <v>19</v>
      </c>
      <c r="T176" s="1722"/>
      <c r="U176" s="1722" t="s">
        <v>100</v>
      </c>
      <c r="V176" s="1357"/>
      <c r="W176" s="2759"/>
      <c r="Y176" s="1190"/>
      <c r="Z176" s="1190"/>
      <c r="AA176" s="1190"/>
      <c r="AB176" s="1190"/>
      <c r="AC176" s="1190"/>
      <c r="AD176" s="1190"/>
      <c r="AE176" s="1190"/>
      <c r="AF176" s="1190"/>
      <c r="AG176" s="1190"/>
      <c r="AH176" s="1190"/>
      <c r="AI176" s="1190"/>
      <c r="AJ176" s="1190"/>
      <c r="AK176" s="1190"/>
      <c r="AL176" s="1761"/>
      <c r="AM176" s="1761"/>
      <c r="AN176" s="1190"/>
      <c r="AO176" s="1190"/>
      <c r="AP176" s="1190"/>
      <c r="AQ176" s="1190"/>
    </row>
    <row r="177" spans="1:43" s="1770" customFormat="1" ht="17.25" customHeight="1">
      <c r="A177" s="1757"/>
      <c r="C177" s="1762"/>
      <c r="D177" s="2773"/>
      <c r="E177" s="2403"/>
      <c r="F177" s="2406"/>
      <c r="G177" s="2774"/>
      <c r="H177" s="2773"/>
      <c r="I177" s="2773"/>
      <c r="J177" s="2759"/>
      <c r="K177" s="2446"/>
      <c r="L177" s="2365"/>
      <c r="M177" s="2365"/>
      <c r="N177" s="2760"/>
      <c r="O177" s="2446"/>
      <c r="P177" s="2365"/>
      <c r="Q177" s="2365"/>
      <c r="R177" s="2607"/>
      <c r="S177" s="2655"/>
      <c r="T177" s="1358"/>
      <c r="U177" s="1359"/>
      <c r="V177" s="1359"/>
      <c r="W177" s="2759"/>
      <c r="Y177" s="1182"/>
      <c r="Z177" s="1182"/>
      <c r="AA177" s="1182"/>
      <c r="AB177" s="1182"/>
      <c r="AC177" s="1182"/>
      <c r="AD177" s="1182"/>
      <c r="AE177" s="1182"/>
      <c r="AF177" s="1182"/>
      <c r="AG177" s="1182"/>
      <c r="AH177" s="1182"/>
      <c r="AI177" s="1182"/>
      <c r="AJ177" s="1182"/>
      <c r="AK177" s="1182"/>
    </row>
    <row r="178" spans="1:43" s="1770" customFormat="1" ht="17.25" customHeight="1">
      <c r="A178" s="1757"/>
      <c r="C178" s="1762"/>
      <c r="D178" s="2372"/>
      <c r="E178" s="2404"/>
      <c r="F178" s="2406"/>
      <c r="G178" s="2775"/>
      <c r="H178" s="2372"/>
      <c r="I178" s="2372"/>
      <c r="J178" s="2776"/>
      <c r="K178" s="2446"/>
      <c r="L178" s="2372"/>
      <c r="M178" s="2372"/>
      <c r="N178" s="2761"/>
      <c r="O178" s="2375"/>
      <c r="P178" s="254"/>
      <c r="Q178" s="255"/>
      <c r="R178" s="255" t="s">
        <v>434</v>
      </c>
      <c r="S178" s="1763"/>
      <c r="T178" s="1763"/>
      <c r="U178" s="1763"/>
      <c r="V178" s="1763"/>
      <c r="W178" s="1356"/>
      <c r="Y178" s="1182"/>
      <c r="Z178" s="1182"/>
      <c r="AA178" s="1182"/>
      <c r="AB178" s="1182"/>
      <c r="AC178" s="1182"/>
      <c r="AD178" s="1182"/>
      <c r="AE178" s="1182"/>
      <c r="AF178" s="1182"/>
      <c r="AG178" s="1182"/>
      <c r="AH178" s="1182"/>
      <c r="AI178" s="1182"/>
      <c r="AJ178" s="1182"/>
      <c r="AK178" s="1182"/>
    </row>
    <row r="179" spans="1:43" s="1770" customFormat="1" ht="17.25" customHeight="1">
      <c r="A179" s="1757"/>
      <c r="C179" s="1762"/>
      <c r="D179" s="2372"/>
      <c r="E179" s="2404"/>
      <c r="F179" s="2406"/>
      <c r="G179" s="2775"/>
      <c r="H179" s="2372"/>
      <c r="I179" s="2372"/>
      <c r="J179" s="2776"/>
      <c r="K179" s="2375"/>
      <c r="L179" s="254"/>
      <c r="M179" s="255"/>
      <c r="N179" s="255" t="s">
        <v>435</v>
      </c>
      <c r="O179" s="255"/>
      <c r="P179" s="255"/>
      <c r="Q179" s="255"/>
      <c r="R179" s="255"/>
      <c r="S179" s="1763"/>
      <c r="T179" s="1763"/>
      <c r="U179" s="1763"/>
      <c r="V179" s="1763"/>
      <c r="W179" s="256"/>
      <c r="Y179" s="1182"/>
      <c r="Z179" s="1182"/>
      <c r="AA179" s="1182"/>
      <c r="AB179" s="1182"/>
      <c r="AC179" s="1182"/>
      <c r="AD179" s="1182"/>
      <c r="AE179" s="1182"/>
      <c r="AF179" s="1182"/>
      <c r="AG179" s="1182"/>
      <c r="AH179" s="1182"/>
      <c r="AI179" s="1182"/>
      <c r="AJ179" s="1182"/>
      <c r="AK179" s="1182"/>
    </row>
    <row r="180" spans="1:43" s="1770" customFormat="1" ht="17.25" customHeight="1">
      <c r="A180" s="1757"/>
      <c r="C180" s="1762"/>
      <c r="D180" s="2372"/>
      <c r="E180" s="2404"/>
      <c r="F180" s="2407"/>
      <c r="G180" s="2775"/>
      <c r="H180" s="254"/>
      <c r="I180" s="255"/>
      <c r="J180" s="255" t="s">
        <v>463</v>
      </c>
      <c r="K180" s="255"/>
      <c r="L180" s="255"/>
      <c r="M180" s="255"/>
      <c r="N180" s="255"/>
      <c r="O180" s="255"/>
      <c r="P180" s="255"/>
      <c r="Q180" s="255"/>
      <c r="R180" s="255"/>
      <c r="S180" s="1763"/>
      <c r="T180" s="1763"/>
      <c r="U180" s="1763"/>
      <c r="V180" s="1763"/>
      <c r="W180" s="256"/>
      <c r="Y180" s="1182"/>
      <c r="Z180" s="1182"/>
      <c r="AA180" s="1182"/>
      <c r="AB180" s="1182"/>
      <c r="AC180" s="1182"/>
      <c r="AD180" s="1182"/>
      <c r="AE180" s="1182"/>
      <c r="AF180" s="1182"/>
      <c r="AG180" s="1182"/>
      <c r="AH180" s="1182"/>
      <c r="AI180" s="1182"/>
      <c r="AJ180" s="1182"/>
      <c r="AK180" s="1182"/>
    </row>
    <row r="181" spans="1:43" ht="17.25" customHeight="1"/>
    <row r="182" spans="1:43" s="1770" customFormat="1" ht="17.25" customHeight="1">
      <c r="A182" s="1757"/>
      <c r="C182" s="1759"/>
      <c r="D182" s="1749"/>
      <c r="E182" s="1764"/>
      <c r="F182" s="1704"/>
      <c r="G182" s="1765"/>
      <c r="H182" s="2773"/>
      <c r="I182" s="2773">
        <v>1</v>
      </c>
      <c r="J182" s="2759"/>
      <c r="K182" s="2445" t="s">
        <v>63</v>
      </c>
      <c r="L182" s="2365"/>
      <c r="M182" s="2365" t="s">
        <v>100</v>
      </c>
      <c r="N182" s="2760" t="str">
        <f>IF(Z182="","",INDEX(TERRITORY_MR_LIST,MATCH(Z182,TERRITORY_LIST_ID,0)))</f>
        <v/>
      </c>
      <c r="O182" s="2445" t="s">
        <v>63</v>
      </c>
      <c r="P182" s="2365"/>
      <c r="Q182" s="2365" t="s">
        <v>100</v>
      </c>
      <c r="R182" s="2607" t="s">
        <v>22</v>
      </c>
      <c r="S182" s="2655" t="s">
        <v>19</v>
      </c>
      <c r="T182" s="1722"/>
      <c r="U182" s="1722" t="s">
        <v>100</v>
      </c>
      <c r="V182" s="1357"/>
      <c r="W182" s="2759"/>
      <c r="Y182" s="1190"/>
      <c r="Z182" s="1190"/>
      <c r="AA182" s="1190"/>
      <c r="AB182" s="1190"/>
      <c r="AC182" s="1190"/>
      <c r="AD182" s="1190"/>
      <c r="AE182" s="1190"/>
      <c r="AF182" s="1190"/>
      <c r="AG182" s="1190"/>
      <c r="AH182" s="1190"/>
      <c r="AI182" s="1190"/>
      <c r="AJ182" s="1190"/>
      <c r="AK182" s="1190"/>
      <c r="AL182" s="1761"/>
      <c r="AM182" s="1761"/>
      <c r="AN182" s="1190"/>
      <c r="AO182" s="1190"/>
      <c r="AP182" s="1190"/>
      <c r="AQ182" s="1190"/>
    </row>
    <row r="183" spans="1:43" s="1770" customFormat="1" ht="17.25" customHeight="1">
      <c r="A183" s="1757"/>
      <c r="C183" s="1762"/>
      <c r="D183" s="1749"/>
      <c r="E183" s="1764"/>
      <c r="F183" s="1704"/>
      <c r="G183" s="1765"/>
      <c r="H183" s="2773"/>
      <c r="I183" s="2773"/>
      <c r="J183" s="2759"/>
      <c r="K183" s="2446"/>
      <c r="L183" s="2365"/>
      <c r="M183" s="2365"/>
      <c r="N183" s="2760"/>
      <c r="O183" s="2446"/>
      <c r="P183" s="2365"/>
      <c r="Q183" s="2365"/>
      <c r="R183" s="2607"/>
      <c r="S183" s="2655"/>
      <c r="T183" s="1358"/>
      <c r="U183" s="1359"/>
      <c r="V183" s="1359"/>
      <c r="W183" s="2759"/>
      <c r="Y183" s="1182"/>
      <c r="Z183" s="1182"/>
      <c r="AA183" s="1182"/>
      <c r="AB183" s="1182"/>
      <c r="AC183" s="1182"/>
      <c r="AD183" s="1182"/>
      <c r="AE183" s="1182"/>
      <c r="AF183" s="1182"/>
      <c r="AG183" s="1182"/>
      <c r="AH183" s="1182"/>
      <c r="AI183" s="1182"/>
      <c r="AJ183" s="1182"/>
      <c r="AK183" s="1182"/>
    </row>
    <row r="184" spans="1:43" s="1770" customFormat="1" ht="17.25" customHeight="1">
      <c r="A184" s="1757"/>
      <c r="C184" s="1762"/>
      <c r="D184" s="1749"/>
      <c r="E184" s="1764"/>
      <c r="F184" s="1704"/>
      <c r="G184" s="1765"/>
      <c r="H184" s="2372"/>
      <c r="I184" s="2372"/>
      <c r="J184" s="2776"/>
      <c r="K184" s="2446"/>
      <c r="L184" s="2372"/>
      <c r="M184" s="2372"/>
      <c r="N184" s="2761"/>
      <c r="O184" s="2375"/>
      <c r="P184" s="254"/>
      <c r="Q184" s="255"/>
      <c r="R184" s="255" t="s">
        <v>434</v>
      </c>
      <c r="S184" s="1763"/>
      <c r="T184" s="1763"/>
      <c r="U184" s="1763"/>
      <c r="V184" s="1763"/>
      <c r="W184" s="1356"/>
      <c r="Y184" s="1182"/>
      <c r="Z184" s="1182"/>
      <c r="AA184" s="1182"/>
      <c r="AB184" s="1182"/>
      <c r="AC184" s="1182"/>
      <c r="AD184" s="1182"/>
      <c r="AE184" s="1182"/>
      <c r="AF184" s="1182"/>
      <c r="AG184" s="1182"/>
      <c r="AH184" s="1182"/>
      <c r="AI184" s="1182"/>
      <c r="AJ184" s="1182"/>
      <c r="AK184" s="1182"/>
    </row>
    <row r="185" spans="1:43" s="1770" customFormat="1" ht="17.25" customHeight="1">
      <c r="A185" s="1757"/>
      <c r="C185" s="1762"/>
      <c r="D185" s="1749"/>
      <c r="E185" s="1764"/>
      <c r="F185" s="1704"/>
      <c r="G185" s="1765"/>
      <c r="H185" s="2372"/>
      <c r="I185" s="2372"/>
      <c r="J185" s="2776"/>
      <c r="K185" s="2375"/>
      <c r="L185" s="254"/>
      <c r="M185" s="255"/>
      <c r="N185" s="255" t="s">
        <v>435</v>
      </c>
      <c r="O185" s="255"/>
      <c r="P185" s="255"/>
      <c r="Q185" s="255"/>
      <c r="R185" s="255"/>
      <c r="S185" s="1763"/>
      <c r="T185" s="1763"/>
      <c r="U185" s="1763"/>
      <c r="V185" s="1763"/>
      <c r="W185" s="256"/>
      <c r="Y185" s="1182"/>
      <c r="Z185" s="1182"/>
      <c r="AA185" s="1182"/>
      <c r="AB185" s="1182"/>
      <c r="AC185" s="1182"/>
      <c r="AD185" s="1182"/>
      <c r="AE185" s="1182"/>
      <c r="AF185" s="1182"/>
      <c r="AG185" s="1182"/>
      <c r="AH185" s="1182"/>
      <c r="AI185" s="1182"/>
      <c r="AJ185" s="1182"/>
      <c r="AK185" s="1182"/>
    </row>
    <row r="186" spans="1:43" ht="17.25" customHeight="1"/>
    <row r="187" spans="1:43" s="1770" customFormat="1" ht="17.25" customHeight="1">
      <c r="A187" s="1757"/>
      <c r="C187" s="1759"/>
      <c r="D187" s="1749"/>
      <c r="E187" s="1764"/>
      <c r="F187" s="1704"/>
      <c r="G187" s="1765"/>
      <c r="H187" s="1749"/>
      <c r="I187" s="1749"/>
      <c r="J187" s="1768"/>
      <c r="K187" s="1765"/>
      <c r="L187" s="2365"/>
      <c r="M187" s="2365" t="s">
        <v>100</v>
      </c>
      <c r="N187" s="2760" t="str">
        <f>IF(Z187="","",INDEX(TERRITORY_MR_LIST,MATCH(Z187,TERRITORY_LIST_ID,0)))</f>
        <v/>
      </c>
      <c r="O187" s="2445" t="s">
        <v>63</v>
      </c>
      <c r="P187" s="2365"/>
      <c r="Q187" s="2365" t="s">
        <v>100</v>
      </c>
      <c r="R187" s="2607" t="s">
        <v>22</v>
      </c>
      <c r="S187" s="2655" t="s">
        <v>19</v>
      </c>
      <c r="T187" s="1722"/>
      <c r="U187" s="1722" t="s">
        <v>100</v>
      </c>
      <c r="V187" s="1357"/>
      <c r="W187" s="2759"/>
      <c r="Y187" s="1190"/>
      <c r="Z187" s="1190"/>
      <c r="AA187" s="1190"/>
      <c r="AB187" s="1190"/>
      <c r="AC187" s="1190"/>
      <c r="AD187" s="1190"/>
      <c r="AE187" s="1190"/>
      <c r="AF187" s="1190"/>
      <c r="AG187" s="1190"/>
      <c r="AH187" s="1190"/>
      <c r="AI187" s="1190"/>
      <c r="AJ187" s="1190"/>
      <c r="AK187" s="1190"/>
      <c r="AL187" s="1761"/>
      <c r="AM187" s="1761"/>
      <c r="AN187" s="1190"/>
      <c r="AO187" s="1190"/>
      <c r="AP187" s="1190"/>
      <c r="AQ187" s="1190"/>
    </row>
    <row r="188" spans="1:43" s="1770" customFormat="1" ht="17.25" customHeight="1">
      <c r="A188" s="1757"/>
      <c r="C188" s="1762"/>
      <c r="D188" s="1749"/>
      <c r="E188" s="1764"/>
      <c r="F188" s="1704"/>
      <c r="G188" s="1765"/>
      <c r="H188" s="1749"/>
      <c r="I188" s="1749"/>
      <c r="J188" s="1768"/>
      <c r="K188" s="1765"/>
      <c r="L188" s="2365"/>
      <c r="M188" s="2365"/>
      <c r="N188" s="2760"/>
      <c r="O188" s="2446"/>
      <c r="P188" s="2365"/>
      <c r="Q188" s="2365"/>
      <c r="R188" s="2607"/>
      <c r="S188" s="2655"/>
      <c r="T188" s="1358"/>
      <c r="U188" s="1359"/>
      <c r="V188" s="1359"/>
      <c r="W188" s="2759"/>
      <c r="Y188" s="1182"/>
      <c r="Z188" s="1182"/>
      <c r="AA188" s="1182"/>
      <c r="AB188" s="1182"/>
      <c r="AC188" s="1182"/>
      <c r="AD188" s="1182"/>
      <c r="AE188" s="1182"/>
      <c r="AF188" s="1182"/>
      <c r="AG188" s="1182"/>
      <c r="AH188" s="1182"/>
      <c r="AI188" s="1182"/>
      <c r="AJ188" s="1182"/>
      <c r="AK188" s="1182"/>
    </row>
    <row r="189" spans="1:43" s="1770" customFormat="1" ht="17.25" customHeight="1">
      <c r="A189" s="1757"/>
      <c r="C189" s="1762"/>
      <c r="D189" s="1749"/>
      <c r="E189" s="1764"/>
      <c r="F189" s="1704"/>
      <c r="G189" s="1765"/>
      <c r="H189" s="1749"/>
      <c r="I189" s="1749"/>
      <c r="J189" s="1768"/>
      <c r="K189" s="1765"/>
      <c r="L189" s="2372"/>
      <c r="M189" s="2372"/>
      <c r="N189" s="2761"/>
      <c r="O189" s="2375"/>
      <c r="P189" s="254"/>
      <c r="Q189" s="255"/>
      <c r="R189" s="255" t="s">
        <v>434</v>
      </c>
      <c r="S189" s="1763"/>
      <c r="T189" s="1763"/>
      <c r="U189" s="1763"/>
      <c r="V189" s="1763"/>
      <c r="W189" s="1356"/>
      <c r="Y189" s="1182"/>
      <c r="Z189" s="1182"/>
      <c r="AA189" s="1182"/>
      <c r="AB189" s="1182"/>
      <c r="AC189" s="1182"/>
      <c r="AD189" s="1182"/>
      <c r="AE189" s="1182"/>
      <c r="AF189" s="1182"/>
      <c r="AG189" s="1182"/>
      <c r="AH189" s="1182"/>
      <c r="AI189" s="1182"/>
      <c r="AJ189" s="1182"/>
      <c r="AK189" s="1182"/>
    </row>
    <row r="190" spans="1:43" ht="17.25" customHeight="1"/>
    <row r="191" spans="1:43" s="1770" customFormat="1" ht="17.25" customHeight="1">
      <c r="A191" s="1757"/>
      <c r="C191" s="1759"/>
      <c r="D191" s="1749"/>
      <c r="E191" s="1764"/>
      <c r="F191" s="1704"/>
      <c r="G191" s="1765"/>
      <c r="H191" s="1749"/>
      <c r="I191" s="1749"/>
      <c r="J191" s="1768"/>
      <c r="K191" s="1765"/>
      <c r="L191" s="1749"/>
      <c r="M191" s="1749"/>
      <c r="N191" s="1962"/>
      <c r="O191" s="1707"/>
      <c r="P191" s="2365"/>
      <c r="Q191" s="2365" t="s">
        <v>100</v>
      </c>
      <c r="R191" s="2607" t="s">
        <v>22</v>
      </c>
      <c r="S191" s="2655" t="s">
        <v>19</v>
      </c>
      <c r="T191" s="1722"/>
      <c r="U191" s="1722" t="s">
        <v>100</v>
      </c>
      <c r="V191" s="1357"/>
      <c r="W191" s="2759"/>
      <c r="Y191" s="1190"/>
      <c r="Z191" s="1190"/>
      <c r="AA191" s="1190"/>
      <c r="AB191" s="1190"/>
      <c r="AC191" s="1190"/>
      <c r="AD191" s="1190"/>
      <c r="AE191" s="1190"/>
      <c r="AF191" s="1190"/>
      <c r="AG191" s="1190"/>
      <c r="AH191" s="1190"/>
      <c r="AI191" s="1190"/>
      <c r="AJ191" s="1190"/>
      <c r="AK191" s="1190"/>
      <c r="AL191" s="1761"/>
      <c r="AM191" s="1761"/>
      <c r="AN191" s="1190"/>
      <c r="AO191" s="1190"/>
      <c r="AP191" s="1190"/>
      <c r="AQ191" s="1190"/>
    </row>
    <row r="192" spans="1:43" s="1770" customFormat="1" ht="17.25" customHeight="1">
      <c r="A192" s="1757"/>
      <c r="C192" s="1762"/>
      <c r="D192" s="1749"/>
      <c r="E192" s="1764"/>
      <c r="F192" s="1704"/>
      <c r="G192" s="1765"/>
      <c r="H192" s="1749"/>
      <c r="I192" s="1749"/>
      <c r="J192" s="1768"/>
      <c r="K192" s="1765"/>
      <c r="L192" s="1749"/>
      <c r="M192" s="1749"/>
      <c r="N192" s="1962"/>
      <c r="O192" s="1707"/>
      <c r="P192" s="2365"/>
      <c r="Q192" s="2365"/>
      <c r="R192" s="2607"/>
      <c r="S192" s="2655"/>
      <c r="T192" s="1358"/>
      <c r="U192" s="1359"/>
      <c r="V192" s="1359"/>
      <c r="W192" s="2759"/>
      <c r="Y192" s="1182"/>
      <c r="Z192" s="1182"/>
      <c r="AA192" s="1182"/>
      <c r="AB192" s="1182"/>
      <c r="AC192" s="1182"/>
      <c r="AD192" s="1182"/>
      <c r="AE192" s="1182"/>
      <c r="AF192" s="1182"/>
      <c r="AG192" s="1182"/>
      <c r="AH192" s="1182"/>
      <c r="AI192" s="1182"/>
      <c r="AJ192" s="1182"/>
      <c r="AK192" s="1182"/>
    </row>
    <row r="193" spans="1:63" ht="17.25" customHeight="1"/>
    <row r="194" spans="1:63" ht="16.5" customHeight="1">
      <c r="A194" s="1757"/>
      <c r="B194" s="1758"/>
      <c r="C194" s="1762"/>
      <c r="D194" s="2773"/>
      <c r="E194" s="2439"/>
      <c r="F194" s="2439"/>
      <c r="G194" s="2371"/>
      <c r="H194" s="2408"/>
      <c r="I194" s="2410"/>
      <c r="J194" s="2412"/>
      <c r="K194" s="2397"/>
      <c r="L194" s="2397"/>
      <c r="M194" s="2397"/>
      <c r="N194" s="2399"/>
      <c r="O194" s="2397"/>
      <c r="P194" s="2397"/>
      <c r="Q194" s="2397"/>
      <c r="R194" s="2402"/>
      <c r="S194" s="2397"/>
      <c r="T194" s="1703"/>
      <c r="U194" s="1703"/>
      <c r="V194" s="1769"/>
      <c r="W194" s="1219"/>
    </row>
    <row r="195" spans="1:63" ht="16.5" customHeight="1">
      <c r="A195" s="1757"/>
      <c r="B195" s="1758"/>
      <c r="C195" s="1762"/>
      <c r="D195" s="2773"/>
      <c r="E195" s="2439"/>
      <c r="F195" s="2439"/>
      <c r="G195" s="2371"/>
      <c r="H195" s="2409"/>
      <c r="I195" s="2411"/>
      <c r="J195" s="2413"/>
      <c r="K195" s="2398"/>
      <c r="L195" s="2398"/>
      <c r="M195" s="2398"/>
      <c r="N195" s="2400"/>
      <c r="O195" s="2398"/>
      <c r="P195" s="2398"/>
      <c r="Q195" s="2398"/>
      <c r="R195" s="2401"/>
      <c r="S195" s="2398"/>
      <c r="T195" s="1220"/>
      <c r="U195" s="1220"/>
      <c r="V195" s="1220"/>
      <c r="W195" s="1221"/>
    </row>
    <row r="196" spans="1:63" ht="17.25" customHeight="1">
      <c r="A196" s="1757"/>
      <c r="B196" s="1758"/>
      <c r="C196" s="1762"/>
      <c r="D196" s="2773"/>
      <c r="E196" s="2439"/>
      <c r="F196" s="2439"/>
      <c r="G196" s="2371"/>
      <c r="H196" s="2409"/>
      <c r="I196" s="2411"/>
      <c r="J196" s="2414"/>
      <c r="K196" s="2398"/>
      <c r="L196" s="2398"/>
      <c r="M196" s="2398"/>
      <c r="N196" s="2401"/>
      <c r="O196" s="2398"/>
      <c r="P196" s="1706"/>
      <c r="Q196" s="1220"/>
      <c r="R196" s="1220"/>
      <c r="S196" s="1770"/>
      <c r="T196" s="1770"/>
      <c r="U196" s="1770"/>
      <c r="V196" s="1770"/>
      <c r="W196" s="1221"/>
    </row>
    <row r="197" spans="1:63" ht="17.25" customHeight="1">
      <c r="A197" s="1757"/>
      <c r="B197" s="1758"/>
      <c r="C197" s="1762"/>
      <c r="D197" s="2773"/>
      <c r="E197" s="2439"/>
      <c r="F197" s="2439"/>
      <c r="G197" s="2371"/>
      <c r="H197" s="2409"/>
      <c r="I197" s="2411"/>
      <c r="J197" s="2414"/>
      <c r="K197" s="2398"/>
      <c r="L197" s="1220"/>
      <c r="M197" s="1220"/>
      <c r="N197" s="1220"/>
      <c r="O197" s="1220"/>
      <c r="P197" s="1220"/>
      <c r="Q197" s="1220"/>
      <c r="R197" s="1220"/>
      <c r="S197" s="1770"/>
      <c r="T197" s="1770"/>
      <c r="U197" s="1770"/>
      <c r="V197" s="1770"/>
      <c r="W197" s="1221"/>
    </row>
    <row r="198" spans="1:63" ht="17.25" customHeight="1">
      <c r="A198" s="1757"/>
      <c r="B198" s="1758"/>
      <c r="C198" s="1762"/>
      <c r="D198" s="2773"/>
      <c r="E198" s="2439"/>
      <c r="F198" s="2439"/>
      <c r="G198" s="2371"/>
      <c r="H198" s="1222"/>
      <c r="I198" s="1223"/>
      <c r="J198" s="1223"/>
      <c r="K198" s="1223"/>
      <c r="L198" s="1223"/>
      <c r="M198" s="1223"/>
      <c r="N198" s="1223"/>
      <c r="O198" s="1223"/>
      <c r="P198" s="1223"/>
      <c r="Q198" s="1223"/>
      <c r="R198" s="1223"/>
      <c r="S198" s="1771"/>
      <c r="T198" s="1771"/>
      <c r="U198" s="1771"/>
      <c r="V198" s="1771"/>
      <c r="W198" s="1225"/>
    </row>
    <row r="200" spans="1:63" s="1735" customFormat="1" ht="17.25" customHeight="1">
      <c r="A200" s="1735" t="s">
        <v>2112</v>
      </c>
    </row>
    <row r="201" spans="1:63" ht="17.25" customHeight="1">
      <c r="G201" s="1756"/>
      <c r="H201" s="1756"/>
      <c r="I201" s="1756"/>
      <c r="M201" s="1752"/>
    </row>
    <row r="202" spans="1:63" s="1767" customFormat="1" ht="15" customHeight="1">
      <c r="D202" s="2767"/>
      <c r="E202" s="2456"/>
      <c r="F202" s="2456"/>
      <c r="G202" s="2445"/>
      <c r="H202" s="1487"/>
      <c r="I202" s="2771">
        <v>1</v>
      </c>
      <c r="J202" s="2759"/>
      <c r="K202" s="1502"/>
      <c r="L202" s="2445" t="s">
        <v>63</v>
      </c>
      <c r="M202" s="2445" t="s">
        <v>63</v>
      </c>
      <c r="N202" s="1487"/>
      <c r="O202" s="2365" t="s">
        <v>100</v>
      </c>
      <c r="P202" s="2669"/>
      <c r="Q202" s="1503"/>
      <c r="R202" s="2445" t="s">
        <v>63</v>
      </c>
      <c r="S202" s="2445" t="s">
        <v>63</v>
      </c>
      <c r="T202" s="1772"/>
      <c r="U202" s="2365" t="s">
        <v>100</v>
      </c>
      <c r="V202" s="2768" t="str">
        <f>IF(AK202="","",INDEX(TERRITORY_MR_LIST,MATCH(AK202,TERRITORY_LIST_ID,0)))</f>
        <v/>
      </c>
      <c r="W202" s="1504"/>
      <c r="X202" s="2445" t="s">
        <v>63</v>
      </c>
      <c r="Y202" s="2445" t="s">
        <v>19</v>
      </c>
      <c r="Z202" s="1487"/>
      <c r="AA202" s="2365" t="s">
        <v>100</v>
      </c>
      <c r="AB202" s="2770"/>
      <c r="AC202" s="1505"/>
      <c r="AD202" s="2445" t="s">
        <v>63</v>
      </c>
      <c r="AE202" s="2445" t="s">
        <v>19</v>
      </c>
      <c r="AF202" s="1485"/>
      <c r="AG202" s="1731" t="s">
        <v>100</v>
      </c>
      <c r="AH202" s="1495"/>
      <c r="AI202" s="1721"/>
    </row>
    <row r="203" spans="1:63" s="1767" customFormat="1" ht="15" customHeight="1">
      <c r="D203" s="2767"/>
      <c r="E203" s="2456"/>
      <c r="F203" s="2456"/>
      <c r="G203" s="2446"/>
      <c r="H203" s="1487"/>
      <c r="I203" s="2771"/>
      <c r="J203" s="2759"/>
      <c r="K203" s="1486"/>
      <c r="L203" s="2446"/>
      <c r="M203" s="2446"/>
      <c r="N203" s="1487"/>
      <c r="O203" s="2365"/>
      <c r="P203" s="2669"/>
      <c r="Q203" s="1483"/>
      <c r="R203" s="2446"/>
      <c r="S203" s="2446"/>
      <c r="T203" s="1772"/>
      <c r="U203" s="2365"/>
      <c r="V203" s="2769"/>
      <c r="W203" s="1484"/>
      <c r="X203" s="2446"/>
      <c r="Y203" s="2446"/>
      <c r="Z203" s="1487"/>
      <c r="AA203" s="2365"/>
      <c r="AB203" s="2754"/>
      <c r="AC203" s="1488"/>
      <c r="AD203" s="2375"/>
      <c r="AE203" s="2375"/>
      <c r="AF203" s="1489"/>
      <c r="AG203" s="1490"/>
      <c r="AH203" s="2762" t="s">
        <v>2113</v>
      </c>
      <c r="AI203" s="2763"/>
    </row>
    <row r="204" spans="1:63" s="1767" customFormat="1" ht="15" customHeight="1">
      <c r="D204" s="2767"/>
      <c r="E204" s="2456"/>
      <c r="F204" s="2456"/>
      <c r="G204" s="2446"/>
      <c r="H204" s="1487"/>
      <c r="I204" s="2771"/>
      <c r="J204" s="2759"/>
      <c r="K204" s="1486"/>
      <c r="L204" s="2446"/>
      <c r="M204" s="2446"/>
      <c r="N204" s="1487"/>
      <c r="O204" s="2365"/>
      <c r="P204" s="2669"/>
      <c r="Q204" s="1483"/>
      <c r="R204" s="2446"/>
      <c r="S204" s="2446"/>
      <c r="T204" s="1772"/>
      <c r="U204" s="2365"/>
      <c r="V204" s="2769"/>
      <c r="W204" s="1484"/>
      <c r="X204" s="2446"/>
      <c r="Y204" s="2446"/>
      <c r="Z204" s="1526"/>
      <c r="AA204" s="1492"/>
      <c r="AB204" s="2764" t="s">
        <v>2114</v>
      </c>
      <c r="AC204" s="2764"/>
      <c r="AD204" s="2764"/>
      <c r="AE204" s="2764"/>
      <c r="AF204" s="2764"/>
      <c r="AG204" s="2764"/>
      <c r="AH204" s="2764"/>
      <c r="AI204" s="2765"/>
    </row>
    <row r="205" spans="1:63" s="1767" customFormat="1" ht="15" customHeight="1">
      <c r="D205" s="2767"/>
      <c r="E205" s="2456"/>
      <c r="F205" s="2456"/>
      <c r="G205" s="2446"/>
      <c r="H205" s="1487"/>
      <c r="I205" s="2771"/>
      <c r="J205" s="2759"/>
      <c r="K205" s="1486"/>
      <c r="L205" s="2446"/>
      <c r="M205" s="2446"/>
      <c r="N205" s="1487"/>
      <c r="O205" s="2365"/>
      <c r="P205" s="2766"/>
      <c r="Q205" s="1483"/>
      <c r="R205" s="2446"/>
      <c r="S205" s="2446"/>
      <c r="T205" s="1773"/>
      <c r="U205" s="1527"/>
      <c r="V205" s="2762" t="s">
        <v>117</v>
      </c>
      <c r="W205" s="2762"/>
      <c r="X205" s="2762"/>
      <c r="Y205" s="2762"/>
      <c r="Z205" s="2762"/>
      <c r="AA205" s="2762"/>
      <c r="AB205" s="2762"/>
      <c r="AC205" s="2762"/>
      <c r="AD205" s="2762"/>
      <c r="AE205" s="2762"/>
      <c r="AF205" s="2762"/>
      <c r="AG205" s="2762"/>
      <c r="AH205" s="2762"/>
      <c r="AI205" s="2763"/>
    </row>
    <row r="206" spans="1:63" s="1767" customFormat="1" ht="11.25" customHeight="1">
      <c r="D206" s="2767"/>
      <c r="E206" s="2456"/>
      <c r="F206" s="2456"/>
      <c r="G206" s="2446"/>
      <c r="H206" s="1491"/>
      <c r="I206" s="2771"/>
      <c r="J206" s="2772"/>
      <c r="K206" s="1486"/>
      <c r="L206" s="2446"/>
      <c r="M206" s="2446"/>
      <c r="N206" s="1491"/>
      <c r="O206" s="1492"/>
      <c r="P206" s="2762" t="s">
        <v>2115</v>
      </c>
      <c r="Q206" s="2762"/>
      <c r="R206" s="2762"/>
      <c r="S206" s="2762"/>
      <c r="T206" s="2762"/>
      <c r="U206" s="2762"/>
      <c r="V206" s="2762"/>
      <c r="W206" s="2762"/>
      <c r="X206" s="2762"/>
      <c r="Y206" s="2762"/>
      <c r="Z206" s="2762"/>
      <c r="AA206" s="2762"/>
      <c r="AB206" s="2762"/>
      <c r="AC206" s="2762"/>
      <c r="AD206" s="2762"/>
      <c r="AE206" s="2762"/>
      <c r="AF206" s="2762"/>
      <c r="AG206" s="2762"/>
      <c r="AH206" s="2762"/>
      <c r="AI206" s="2763"/>
    </row>
    <row r="207" spans="1:63" s="1477" customFormat="1" ht="11.25" customHeight="1">
      <c r="D207" s="2767"/>
      <c r="E207" s="2456"/>
      <c r="F207" s="2456"/>
      <c r="G207" s="2375"/>
      <c r="H207" s="1493"/>
      <c r="I207" s="1494"/>
      <c r="J207" s="2762" t="s">
        <v>463</v>
      </c>
      <c r="K207" s="2762"/>
      <c r="L207" s="2762"/>
      <c r="M207" s="2762"/>
      <c r="N207" s="2762"/>
      <c r="O207" s="2762"/>
      <c r="P207" s="2762"/>
      <c r="Q207" s="2762"/>
      <c r="R207" s="2762"/>
      <c r="S207" s="2762"/>
      <c r="T207" s="2762"/>
      <c r="U207" s="2762"/>
      <c r="V207" s="2762"/>
      <c r="W207" s="2762"/>
      <c r="X207" s="2762"/>
      <c r="Y207" s="2762"/>
      <c r="Z207" s="2762"/>
      <c r="AA207" s="2762"/>
      <c r="AB207" s="2762"/>
      <c r="AC207" s="2762"/>
      <c r="AD207" s="2762"/>
      <c r="AE207" s="2762"/>
      <c r="AF207" s="2762"/>
      <c r="AG207" s="2762"/>
      <c r="AH207" s="2762"/>
      <c r="AI207" s="2763"/>
      <c r="BK207" s="1497"/>
    </row>
    <row r="208" spans="1:63" ht="17.25" customHeight="1">
      <c r="G208" s="1756"/>
      <c r="I208" s="1756"/>
      <c r="J208" s="1756"/>
      <c r="N208" s="1752"/>
    </row>
    <row r="209" spans="4:63" s="1767" customFormat="1" ht="15" customHeight="1">
      <c r="D209" s="2767"/>
      <c r="E209" s="2456"/>
      <c r="F209" s="2456"/>
      <c r="G209" s="2439"/>
      <c r="H209" s="1522"/>
      <c r="I209" s="2441"/>
      <c r="J209" s="2412"/>
      <c r="K209" s="1705"/>
      <c r="L209" s="2397"/>
      <c r="M209" s="2397"/>
      <c r="N209" s="1507"/>
      <c r="O209" s="2397"/>
      <c r="P209" s="2412"/>
      <c r="Q209" s="1709"/>
      <c r="R209" s="2397"/>
      <c r="S209" s="2397"/>
      <c r="T209" s="1774"/>
      <c r="U209" s="2397"/>
      <c r="V209" s="2412"/>
      <c r="W209" s="1510"/>
      <c r="X209" s="2397"/>
      <c r="Y209" s="2397"/>
      <c r="Z209" s="1507"/>
      <c r="AA209" s="2397"/>
      <c r="AB209" s="2412"/>
      <c r="AC209" s="1511"/>
      <c r="AD209" s="2397"/>
      <c r="AE209" s="2397"/>
      <c r="AF209" s="1703"/>
      <c r="AG209" s="1703"/>
      <c r="AH209" s="1512"/>
      <c r="AI209" s="1219"/>
    </row>
    <row r="210" spans="4:63" s="1767" customFormat="1" ht="15" customHeight="1">
      <c r="D210" s="2767"/>
      <c r="E210" s="2456"/>
      <c r="F210" s="2456"/>
      <c r="G210" s="2439"/>
      <c r="H210" s="1523"/>
      <c r="I210" s="2442"/>
      <c r="J210" s="2413"/>
      <c r="K210" s="1533"/>
      <c r="L210" s="2398"/>
      <c r="M210" s="2398"/>
      <c r="N210" s="1513"/>
      <c r="O210" s="2398"/>
      <c r="P210" s="2413"/>
      <c r="Q210" s="1710"/>
      <c r="R210" s="2398"/>
      <c r="S210" s="2398"/>
      <c r="T210" s="1775"/>
      <c r="U210" s="2398"/>
      <c r="V210" s="2413"/>
      <c r="W210" s="1516"/>
      <c r="X210" s="2398"/>
      <c r="Y210" s="2398"/>
      <c r="Z210" s="1513"/>
      <c r="AA210" s="2398"/>
      <c r="AB210" s="2413"/>
      <c r="AC210" s="1517"/>
      <c r="AD210" s="2398"/>
      <c r="AE210" s="2398"/>
      <c r="AF210" s="1708"/>
      <c r="AG210" s="1708"/>
      <c r="AH210" s="2437"/>
      <c r="AI210" s="2438"/>
    </row>
    <row r="211" spans="4:63" s="1767" customFormat="1" ht="15" customHeight="1">
      <c r="D211" s="2767"/>
      <c r="E211" s="2456"/>
      <c r="F211" s="2456"/>
      <c r="G211" s="2439"/>
      <c r="H211" s="1523"/>
      <c r="I211" s="2442"/>
      <c r="J211" s="2413"/>
      <c r="K211" s="1533"/>
      <c r="L211" s="2398"/>
      <c r="M211" s="2398"/>
      <c r="N211" s="1513"/>
      <c r="O211" s="2398"/>
      <c r="P211" s="2413"/>
      <c r="Q211" s="1710"/>
      <c r="R211" s="2398"/>
      <c r="S211" s="2398"/>
      <c r="T211" s="1775"/>
      <c r="U211" s="2398"/>
      <c r="V211" s="2413"/>
      <c r="W211" s="1516"/>
      <c r="X211" s="2398"/>
      <c r="Y211" s="2398"/>
      <c r="Z211" s="1706"/>
      <c r="AA211" s="1708"/>
      <c r="AB211" s="2437"/>
      <c r="AC211" s="2437"/>
      <c r="AD211" s="2437"/>
      <c r="AE211" s="2437"/>
      <c r="AF211" s="2437"/>
      <c r="AG211" s="2437"/>
      <c r="AH211" s="2437"/>
      <c r="AI211" s="2438"/>
    </row>
    <row r="212" spans="4:63" s="1767" customFormat="1" ht="15" customHeight="1">
      <c r="D212" s="2767"/>
      <c r="E212" s="2456"/>
      <c r="F212" s="2456"/>
      <c r="G212" s="2439"/>
      <c r="H212" s="1523"/>
      <c r="I212" s="2442"/>
      <c r="J212" s="2413"/>
      <c r="K212" s="1533"/>
      <c r="L212" s="2398"/>
      <c r="M212" s="2398"/>
      <c r="N212" s="1513"/>
      <c r="O212" s="2398"/>
      <c r="P212" s="2413"/>
      <c r="Q212" s="1710"/>
      <c r="R212" s="2398"/>
      <c r="S212" s="2398"/>
      <c r="T212" s="1776"/>
      <c r="U212" s="1520"/>
      <c r="V212" s="2437"/>
      <c r="W212" s="2437"/>
      <c r="X212" s="2437"/>
      <c r="Y212" s="2437"/>
      <c r="Z212" s="2437"/>
      <c r="AA212" s="2437"/>
      <c r="AB212" s="2437"/>
      <c r="AC212" s="2437"/>
      <c r="AD212" s="2437"/>
      <c r="AE212" s="2437"/>
      <c r="AF212" s="2437"/>
      <c r="AG212" s="2437"/>
      <c r="AH212" s="2437"/>
      <c r="AI212" s="2438"/>
    </row>
    <row r="213" spans="4:63" s="1767" customFormat="1" ht="11.25" customHeight="1">
      <c r="D213" s="2767"/>
      <c r="E213" s="2456"/>
      <c r="F213" s="2456"/>
      <c r="G213" s="2439"/>
      <c r="H213" s="1524"/>
      <c r="I213" s="2442"/>
      <c r="J213" s="2413"/>
      <c r="K213" s="1533"/>
      <c r="L213" s="2398"/>
      <c r="M213" s="2398"/>
      <c r="N213" s="1708"/>
      <c r="O213" s="1708"/>
      <c r="P213" s="2437"/>
      <c r="Q213" s="2437"/>
      <c r="R213" s="2437"/>
      <c r="S213" s="2437"/>
      <c r="T213" s="2437"/>
      <c r="U213" s="2437"/>
      <c r="V213" s="2437"/>
      <c r="W213" s="2437"/>
      <c r="X213" s="2437"/>
      <c r="Y213" s="2437"/>
      <c r="Z213" s="2437"/>
      <c r="AA213" s="2437"/>
      <c r="AB213" s="2437"/>
      <c r="AC213" s="2437"/>
      <c r="AD213" s="2437"/>
      <c r="AE213" s="2437"/>
      <c r="AF213" s="2437"/>
      <c r="AG213" s="2437"/>
      <c r="AH213" s="2437"/>
      <c r="AI213" s="2438"/>
    </row>
    <row r="214" spans="4:63" s="1477" customFormat="1" ht="11.25" customHeight="1">
      <c r="D214" s="2767"/>
      <c r="E214" s="2456"/>
      <c r="F214" s="2456"/>
      <c r="G214" s="2444"/>
      <c r="H214" s="1521"/>
      <c r="I214" s="1525"/>
      <c r="J214" s="2447"/>
      <c r="K214" s="2447"/>
      <c r="L214" s="2447"/>
      <c r="M214" s="2447"/>
      <c r="N214" s="2447"/>
      <c r="O214" s="2447"/>
      <c r="P214" s="2447"/>
      <c r="Q214" s="2447"/>
      <c r="R214" s="2447"/>
      <c r="S214" s="2447"/>
      <c r="T214" s="2447"/>
      <c r="U214" s="2447"/>
      <c r="V214" s="2447"/>
      <c r="W214" s="2447"/>
      <c r="X214" s="2447"/>
      <c r="Y214" s="2447"/>
      <c r="Z214" s="2447"/>
      <c r="AA214" s="2447"/>
      <c r="AB214" s="2447"/>
      <c r="AC214" s="2447"/>
      <c r="AD214" s="2447"/>
      <c r="AE214" s="2447"/>
      <c r="AF214" s="2447"/>
      <c r="AG214" s="2447"/>
      <c r="AH214" s="2447"/>
      <c r="AI214" s="2448"/>
      <c r="BK214" s="1497"/>
    </row>
    <row r="215" spans="4:63" ht="17.25" customHeight="1"/>
  </sheetData>
  <sheetProtection formatColumns="0" formatRows="0" insertRows="0" deleteColumns="0" deleteRows="0" sort="0" autoFilter="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69"/>
    <col min="2" max="2" width="43.140625" style="769" hidden="1"/>
    <col min="3" max="3" width="43.140625" style="769"/>
    <col min="4" max="5" width="36.42578125" style="769" customWidth="1"/>
    <col min="6" max="8" width="36.42578125" style="908" customWidth="1"/>
  </cols>
  <sheetData>
    <row r="1" spans="1:8" ht="9" customHeight="1">
      <c r="A1" s="775" t="s">
        <v>2116</v>
      </c>
      <c r="B1" s="775"/>
      <c r="C1" s="909" t="s">
        <v>2117</v>
      </c>
      <c r="D1" s="907" t="s">
        <v>971</v>
      </c>
      <c r="E1" s="907" t="s">
        <v>1018</v>
      </c>
      <c r="F1" s="907" t="s">
        <v>1071</v>
      </c>
      <c r="G1" s="907" t="s">
        <v>1058</v>
      </c>
      <c r="H1" s="907" t="s">
        <v>1811</v>
      </c>
    </row>
    <row r="2" spans="1:8" ht="9" customHeight="1">
      <c r="A2" s="910" t="s">
        <v>2118</v>
      </c>
      <c r="B2" s="910"/>
      <c r="C2" s="911" t="str">
        <f>INDEX(TEMPLATE_NUMBER_FORM_LIST,MATCH(TEMPLATE_SPHERE,TEMPLATE_SPHERE_LIST,0))</f>
        <v>16</v>
      </c>
      <c r="D2" s="910" t="s">
        <v>1661</v>
      </c>
      <c r="E2" s="910" t="s">
        <v>170</v>
      </c>
      <c r="F2" s="912" t="s">
        <v>170</v>
      </c>
      <c r="G2" s="910" t="s">
        <v>170</v>
      </c>
      <c r="H2" s="913"/>
    </row>
    <row r="3" spans="1:8" ht="63" customHeight="1">
      <c r="A3" s="775"/>
      <c r="B3" s="775" t="s">
        <v>100</v>
      </c>
      <c r="C3" s="911"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1" t="s">
        <v>2119</v>
      </c>
      <c r="E3" s="91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2"/>
      <c r="G3" s="913"/>
      <c r="H3" s="775"/>
    </row>
    <row r="4" spans="1:8" ht="243" customHeight="1">
      <c r="A4" s="775" t="s">
        <v>2120</v>
      </c>
      <c r="B4" s="775" t="s">
        <v>103</v>
      </c>
      <c r="C4" s="911"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0" t="s">
        <v>2121</v>
      </c>
      <c r="E4" s="91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0"/>
      <c r="G4" s="910"/>
      <c r="H4" s="775" t="s">
        <v>2122</v>
      </c>
    </row>
    <row r="5" spans="1:8" ht="117" customHeight="1">
      <c r="A5" s="775" t="s">
        <v>2123</v>
      </c>
      <c r="B5" s="775" t="s">
        <v>91</v>
      </c>
      <c r="C5" s="911"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5" t="s">
        <v>2124</v>
      </c>
      <c r="E5" s="778"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3"/>
      <c r="G5" s="913"/>
      <c r="H5" s="775" t="s">
        <v>2125</v>
      </c>
    </row>
    <row r="6" spans="1:8" ht="90" customHeight="1">
      <c r="A6" s="775" t="s">
        <v>2126</v>
      </c>
      <c r="B6" s="775" t="s">
        <v>92</v>
      </c>
      <c r="C6" s="911"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8"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8"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5"/>
      <c r="G6" s="775"/>
      <c r="H6" s="913"/>
    </row>
    <row r="7" spans="1:8" ht="45" customHeight="1">
      <c r="A7" s="775" t="s">
        <v>2127</v>
      </c>
      <c r="B7" s="775" t="s">
        <v>123</v>
      </c>
      <c r="C7" s="911" t="str">
        <f>IF(TEMPLATE_SPHERE="HEAT",D7,E7)</f>
        <v>Форма 11. Информация о расходах на капитальный и текущий ремонт основных средств</v>
      </c>
      <c r="D7" s="775" t="s">
        <v>2128</v>
      </c>
      <c r="E7" s="775" t="s">
        <v>2129</v>
      </c>
      <c r="F7" s="913"/>
      <c r="G7" s="913"/>
      <c r="H7" s="913"/>
    </row>
    <row r="8" spans="1:8" ht="108" customHeight="1">
      <c r="A8" s="775" t="s">
        <v>2130</v>
      </c>
      <c r="B8" s="775" t="s">
        <v>93</v>
      </c>
      <c r="C8" s="911"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5" t="s">
        <v>1361</v>
      </c>
      <c r="E8" s="775" t="s">
        <v>2131</v>
      </c>
      <c r="F8" s="913"/>
      <c r="G8" s="913"/>
      <c r="H8" s="913"/>
    </row>
    <row r="9" spans="1:8" ht="99" customHeight="1">
      <c r="A9" s="775" t="s">
        <v>2132</v>
      </c>
      <c r="B9" s="775"/>
      <c r="C9" s="775" t="s">
        <v>2133</v>
      </c>
      <c r="D9" s="775"/>
      <c r="E9" s="775"/>
      <c r="F9" s="913"/>
      <c r="G9" s="913"/>
      <c r="H9" s="913"/>
    </row>
    <row r="10" spans="1:8" ht="126" customHeight="1">
      <c r="A10" s="775" t="s">
        <v>2134</v>
      </c>
      <c r="B10" s="775"/>
      <c r="C10" s="775" t="s">
        <v>2135</v>
      </c>
      <c r="D10" s="775"/>
      <c r="E10" s="775"/>
      <c r="F10" s="913"/>
      <c r="G10" s="913"/>
      <c r="H10" s="913"/>
    </row>
    <row r="11" spans="1:8" ht="108" customHeight="1">
      <c r="A11" s="775" t="s">
        <v>2136</v>
      </c>
      <c r="B11" s="775"/>
      <c r="C11" s="775" t="s">
        <v>2137</v>
      </c>
      <c r="D11" s="775"/>
      <c r="E11" s="775"/>
      <c r="F11" s="913"/>
      <c r="G11" s="913"/>
      <c r="H11" s="913"/>
    </row>
    <row r="12" spans="1:8" ht="54" customHeight="1">
      <c r="A12" s="775" t="s">
        <v>2138</v>
      </c>
      <c r="B12" s="775"/>
      <c r="C12" s="775" t="s">
        <v>2139</v>
      </c>
      <c r="D12" s="775"/>
      <c r="E12" s="775"/>
      <c r="F12" s="913"/>
      <c r="G12" s="913"/>
      <c r="H12" s="913"/>
    </row>
    <row r="13" spans="1:8" ht="45" customHeight="1">
      <c r="A13" s="775" t="s">
        <v>2140</v>
      </c>
      <c r="B13" s="775"/>
      <c r="C13" s="775" t="s">
        <v>2141</v>
      </c>
      <c r="D13" s="775"/>
      <c r="E13" s="775"/>
      <c r="F13" s="913"/>
      <c r="G13" s="913"/>
      <c r="H13" s="913"/>
    </row>
    <row r="14" spans="1:8" ht="117" customHeight="1">
      <c r="A14" s="775" t="s">
        <v>2142</v>
      </c>
      <c r="B14" s="775"/>
      <c r="C14" s="775" t="s">
        <v>2143</v>
      </c>
      <c r="D14" s="775"/>
      <c r="E14" s="775"/>
      <c r="F14" s="913"/>
      <c r="G14" s="913"/>
      <c r="H14" s="913"/>
    </row>
    <row r="15" spans="1:8" ht="117" customHeight="1">
      <c r="A15" s="775" t="s">
        <v>2144</v>
      </c>
      <c r="B15" s="775"/>
      <c r="C15" s="775" t="s">
        <v>2145</v>
      </c>
      <c r="D15" s="775"/>
      <c r="E15" s="775"/>
      <c r="F15" s="913"/>
      <c r="G15" s="913"/>
      <c r="H15" s="913"/>
    </row>
    <row r="16" spans="1:8" ht="63" customHeight="1">
      <c r="A16" s="775" t="s">
        <v>2146</v>
      </c>
      <c r="B16" s="775"/>
      <c r="C16" s="775" t="s">
        <v>2147</v>
      </c>
      <c r="D16" s="775"/>
      <c r="E16" s="775"/>
      <c r="F16" s="913"/>
      <c r="G16" s="913"/>
      <c r="H16" s="913"/>
    </row>
    <row r="17" spans="1:8" ht="54" customHeight="1">
      <c r="A17" s="775" t="s">
        <v>2148</v>
      </c>
      <c r="B17" s="775"/>
      <c r="C17" s="911" t="s">
        <v>2149</v>
      </c>
      <c r="D17" s="775"/>
      <c r="E17" s="775"/>
      <c r="F17" s="913"/>
      <c r="G17" s="913"/>
      <c r="H17" s="913"/>
    </row>
    <row r="18" spans="1:8" ht="27" customHeight="1">
      <c r="A18" s="775" t="s">
        <v>2150</v>
      </c>
      <c r="B18" s="775"/>
      <c r="C18" s="911" t="s">
        <v>2151</v>
      </c>
      <c r="D18" s="775"/>
      <c r="E18" s="775"/>
      <c r="F18" s="913"/>
      <c r="G18" s="913"/>
      <c r="H18" s="913"/>
    </row>
    <row r="19" spans="1:8" ht="54" customHeight="1">
      <c r="A19" s="775" t="s">
        <v>2152</v>
      </c>
      <c r="B19" s="775"/>
      <c r="C19" s="911" t="s">
        <v>2153</v>
      </c>
      <c r="D19" s="775"/>
      <c r="E19" s="775"/>
      <c r="F19" s="913"/>
      <c r="G19" s="913"/>
      <c r="H19" s="913"/>
    </row>
    <row r="20" spans="1:8" ht="36" customHeight="1">
      <c r="A20" s="775" t="s">
        <v>2154</v>
      </c>
      <c r="B20" s="775"/>
      <c r="C20" s="911" t="s">
        <v>2155</v>
      </c>
      <c r="D20" s="775"/>
      <c r="E20" s="775"/>
      <c r="F20" s="913"/>
      <c r="G20" s="913"/>
      <c r="H20" s="913"/>
    </row>
    <row r="21" spans="1:8" ht="36" customHeight="1">
      <c r="A21" s="775" t="s">
        <v>2156</v>
      </c>
      <c r="B21" s="775"/>
      <c r="C21" s="911" t="s">
        <v>2157</v>
      </c>
      <c r="D21" s="775"/>
      <c r="E21" s="775"/>
      <c r="F21" s="913"/>
      <c r="G21" s="913"/>
      <c r="H21" s="913"/>
    </row>
    <row r="22" spans="1:8" ht="27" customHeight="1">
      <c r="A22" s="775" t="s">
        <v>2158</v>
      </c>
      <c r="B22" s="775"/>
      <c r="C22" s="911" t="s">
        <v>2159</v>
      </c>
      <c r="D22" s="775"/>
      <c r="E22" s="775"/>
      <c r="F22" s="913"/>
      <c r="G22" s="913"/>
      <c r="H22" s="913"/>
    </row>
    <row r="23" spans="1:8" ht="36" customHeight="1">
      <c r="A23" s="775" t="s">
        <v>2160</v>
      </c>
      <c r="B23" s="775"/>
      <c r="C23" s="911" t="s">
        <v>2161</v>
      </c>
      <c r="D23" s="775"/>
      <c r="E23" s="775"/>
      <c r="F23" s="913"/>
      <c r="G23" s="913"/>
      <c r="H23" s="913"/>
    </row>
    <row r="24" spans="1:8" ht="28.5" customHeight="1">
      <c r="A24" s="775" t="s">
        <v>2162</v>
      </c>
      <c r="B24" s="775"/>
      <c r="C24" s="911" t="s">
        <v>2163</v>
      </c>
      <c r="D24" s="775"/>
      <c r="E24" s="775"/>
      <c r="F24" s="913"/>
      <c r="G24" s="913"/>
      <c r="H24" s="913"/>
    </row>
    <row r="25" spans="1:8" ht="36" customHeight="1">
      <c r="A25" s="775" t="s">
        <v>2164</v>
      </c>
      <c r="B25" s="775"/>
      <c r="C25" s="911" t="s">
        <v>2165</v>
      </c>
      <c r="D25" s="775"/>
      <c r="E25" s="775"/>
      <c r="F25" s="913"/>
      <c r="G25" s="913"/>
      <c r="H25" s="913"/>
    </row>
    <row r="26" spans="1:8" ht="27" customHeight="1">
      <c r="A26" s="775" t="s">
        <v>2166</v>
      </c>
      <c r="B26" s="775"/>
      <c r="C26" s="911" t="s">
        <v>2167</v>
      </c>
      <c r="D26" s="775"/>
      <c r="E26" s="775"/>
      <c r="F26" s="913"/>
      <c r="G26" s="913"/>
      <c r="H26" s="913"/>
    </row>
    <row r="27" spans="1:8" ht="36" customHeight="1">
      <c r="A27" s="775" t="s">
        <v>2168</v>
      </c>
      <c r="B27" s="775"/>
      <c r="C27" s="911" t="s">
        <v>2169</v>
      </c>
      <c r="D27" s="775"/>
      <c r="E27" s="775"/>
      <c r="F27" s="913"/>
      <c r="G27" s="913"/>
      <c r="H27" s="913"/>
    </row>
    <row r="28" spans="1:8" ht="28.5" customHeight="1">
      <c r="A28" s="775" t="s">
        <v>2170</v>
      </c>
      <c r="B28" s="775"/>
      <c r="C28" s="911" t="s">
        <v>2171</v>
      </c>
      <c r="D28" s="775"/>
      <c r="E28" s="775"/>
      <c r="F28" s="913"/>
      <c r="G28" s="913"/>
      <c r="H28" s="913"/>
    </row>
    <row r="29" spans="1:8" ht="126" customHeight="1">
      <c r="A29" s="775" t="s">
        <v>2172</v>
      </c>
      <c r="B29" s="775" t="s">
        <v>1762</v>
      </c>
      <c r="C29" s="911"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5" t="s">
        <v>2173</v>
      </c>
      <c r="E29" s="778"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3"/>
      <c r="G29" s="913"/>
      <c r="H29" s="775" t="s">
        <v>2174</v>
      </c>
    </row>
    <row r="30" spans="1:8" ht="36" customHeight="1">
      <c r="A30" s="775" t="s">
        <v>2175</v>
      </c>
      <c r="B30" s="775"/>
      <c r="C30" s="911"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5" t="s">
        <v>2176</v>
      </c>
      <c r="E30" s="778"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3"/>
      <c r="G30" s="913"/>
      <c r="H30" s="913"/>
    </row>
    <row r="31" spans="1:8" ht="54" customHeight="1">
      <c r="A31" s="775" t="s">
        <v>2177</v>
      </c>
      <c r="B31" s="775"/>
      <c r="C31" s="911"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5" t="s">
        <v>2178</v>
      </c>
      <c r="E31" s="778"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3"/>
      <c r="G31" s="913"/>
      <c r="H31" s="913"/>
    </row>
    <row r="32" spans="1:8" ht="198" customHeight="1">
      <c r="A32" s="775" t="s">
        <v>2179</v>
      </c>
      <c r="B32" s="775"/>
      <c r="C32" s="911"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5" t="s">
        <v>2180</v>
      </c>
      <c r="E32" s="778"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3"/>
      <c r="G32" s="913"/>
      <c r="H32" s="775" t="s">
        <v>2181</v>
      </c>
    </row>
    <row r="33" spans="1:8" ht="9" customHeight="1">
      <c r="A33" s="775"/>
      <c r="B33" s="775"/>
      <c r="C33" s="911"/>
      <c r="D33" s="775"/>
      <c r="E33" s="775"/>
      <c r="F33" s="913"/>
      <c r="G33" s="913"/>
      <c r="H33" s="913"/>
    </row>
    <row r="34" spans="1:8" ht="9" customHeight="1">
      <c r="A34" s="775"/>
      <c r="B34" s="775" t="s">
        <v>1699</v>
      </c>
      <c r="C34" s="911">
        <f>INDEX(TEMPLATE_NAME_FORM_LIST,B34,MATCH(TEMPLATE_SPHERE,TEMPLATE_SPHERE_LIST,0))</f>
        <v>0</v>
      </c>
      <c r="D34" s="775"/>
      <c r="E34" s="775"/>
      <c r="F34" s="913"/>
      <c r="G34" s="913"/>
      <c r="H34" s="913"/>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69"/>
    <col min="3" max="7" width="8" style="771" customWidth="1"/>
    <col min="8" max="12" width="8.5703125" style="771" customWidth="1"/>
    <col min="13" max="14" width="27.7109375" style="771" customWidth="1"/>
    <col min="15" max="19" width="5.140625" style="771" customWidth="1"/>
    <col min="20" max="24" width="27.7109375" style="771" customWidth="1"/>
    <col min="25" max="25" width="1.85546875" style="928" customWidth="1"/>
    <col min="26" max="26" width="27.7109375" style="769" customWidth="1"/>
    <col min="27" max="27" width="27.7109375" style="780" customWidth="1"/>
    <col min="28" max="29" width="27.7109375" style="769" customWidth="1"/>
    <col min="30" max="30" width="3.85546875" style="769" customWidth="1"/>
    <col min="31" max="34" width="9.140625" style="769"/>
  </cols>
  <sheetData>
    <row r="1" spans="1:34" s="768" customFormat="1" ht="18" customHeight="1">
      <c r="A1" s="826"/>
      <c r="B1" s="826"/>
      <c r="C1" s="826" t="s">
        <v>2182</v>
      </c>
      <c r="D1" s="826"/>
      <c r="E1" s="826"/>
      <c r="F1" s="826"/>
      <c r="G1" s="826"/>
      <c r="H1" s="826" t="s">
        <v>2183</v>
      </c>
      <c r="I1" s="826"/>
      <c r="J1" s="826"/>
      <c r="K1" s="826"/>
      <c r="L1" s="826"/>
      <c r="M1" s="826" t="s">
        <v>2184</v>
      </c>
      <c r="N1" s="826" t="s">
        <v>2185</v>
      </c>
      <c r="O1" s="2780" t="s">
        <v>2186</v>
      </c>
      <c r="P1" s="2780"/>
      <c r="Q1" s="2780"/>
      <c r="R1" s="2780"/>
      <c r="S1" s="2780"/>
      <c r="T1" s="2780" t="s">
        <v>2184</v>
      </c>
      <c r="U1" s="2780"/>
      <c r="V1" s="2780"/>
      <c r="W1" s="2780"/>
      <c r="X1" s="2780"/>
      <c r="Y1" s="926"/>
      <c r="Z1" s="2780" t="s">
        <v>2187</v>
      </c>
      <c r="AA1" s="2780"/>
      <c r="AB1" s="2780"/>
      <c r="AC1" s="2780"/>
      <c r="AD1" s="2780"/>
    </row>
    <row r="2" spans="1:34" ht="18" customHeight="1">
      <c r="A2" s="775"/>
      <c r="B2" s="775"/>
      <c r="C2" s="770" t="s">
        <v>971</v>
      </c>
      <c r="D2" s="770" t="s">
        <v>1018</v>
      </c>
      <c r="E2" s="770" t="s">
        <v>1071</v>
      </c>
      <c r="F2" s="770" t="s">
        <v>1058</v>
      </c>
      <c r="G2" s="770" t="s">
        <v>1811</v>
      </c>
      <c r="H2" s="772"/>
      <c r="I2" s="772"/>
      <c r="J2" s="772"/>
      <c r="K2" s="772"/>
      <c r="L2" s="772"/>
      <c r="M2" s="772"/>
      <c r="N2" s="772"/>
      <c r="O2" s="770" t="s">
        <v>971</v>
      </c>
      <c r="P2" s="770" t="s">
        <v>1018</v>
      </c>
      <c r="Q2" s="770" t="s">
        <v>1058</v>
      </c>
      <c r="R2" s="770" t="s">
        <v>1071</v>
      </c>
      <c r="S2" s="770" t="s">
        <v>1811</v>
      </c>
      <c r="T2" s="770" t="s">
        <v>971</v>
      </c>
      <c r="U2" s="770" t="s">
        <v>1018</v>
      </c>
      <c r="V2" s="770" t="s">
        <v>1058</v>
      </c>
      <c r="W2" s="770" t="s">
        <v>1071</v>
      </c>
      <c r="X2" s="770" t="s">
        <v>1811</v>
      </c>
      <c r="Y2" s="770"/>
      <c r="Z2" s="770" t="s">
        <v>971</v>
      </c>
      <c r="AA2" s="779" t="s">
        <v>1018</v>
      </c>
      <c r="AB2" s="770" t="s">
        <v>1058</v>
      </c>
      <c r="AC2" s="770" t="s">
        <v>1071</v>
      </c>
      <c r="AD2" s="770" t="s">
        <v>1811</v>
      </c>
    </row>
    <row r="3" spans="1:34" ht="162" customHeight="1">
      <c r="A3" s="774" t="s">
        <v>27</v>
      </c>
      <c r="B3" s="774"/>
      <c r="C3" s="2784" t="s">
        <v>2188</v>
      </c>
      <c r="D3" s="2785"/>
      <c r="E3" s="2785"/>
      <c r="F3" s="2786"/>
      <c r="G3" s="772"/>
      <c r="H3" s="772"/>
      <c r="I3" s="772"/>
      <c r="J3" s="772"/>
      <c r="K3" s="772"/>
      <c r="L3" s="772"/>
      <c r="M3" s="772"/>
      <c r="N3" s="773"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2"/>
      <c r="P3" s="772"/>
      <c r="Q3" s="772"/>
      <c r="R3" s="772"/>
      <c r="S3" s="772"/>
      <c r="T3" s="772"/>
      <c r="U3" s="772"/>
      <c r="V3" s="772"/>
      <c r="W3" s="772"/>
      <c r="X3" s="772"/>
      <c r="Y3" s="927"/>
      <c r="Z3" s="775" t="s">
        <v>2189</v>
      </c>
      <c r="AA3" s="772" t="s">
        <v>2190</v>
      </c>
      <c r="AB3" s="775" t="s">
        <v>2191</v>
      </c>
      <c r="AC3" s="775" t="s">
        <v>2192</v>
      </c>
      <c r="AD3" s="775"/>
      <c r="AG3" s="775"/>
      <c r="AH3" s="775"/>
    </row>
    <row r="4" spans="1:34" ht="9" customHeight="1">
      <c r="A4" s="774"/>
      <c r="B4" s="774"/>
      <c r="C4" s="772"/>
      <c r="D4" s="772"/>
      <c r="E4" s="772"/>
      <c r="F4" s="772"/>
      <c r="G4" s="772"/>
      <c r="H4" s="772"/>
      <c r="I4" s="772"/>
      <c r="J4" s="772"/>
      <c r="K4" s="772"/>
      <c r="L4" s="772"/>
      <c r="M4" s="772"/>
      <c r="N4" s="772"/>
      <c r="O4" s="772"/>
      <c r="P4" s="772"/>
      <c r="Q4" s="772"/>
      <c r="R4" s="772"/>
      <c r="S4" s="772"/>
      <c r="T4" s="772"/>
      <c r="U4" s="772"/>
      <c r="V4" s="772"/>
      <c r="W4" s="772"/>
      <c r="X4" s="772"/>
      <c r="Y4" s="927"/>
      <c r="Z4" s="775"/>
      <c r="AA4" s="778"/>
      <c r="AB4" s="775"/>
      <c r="AC4" s="775"/>
      <c r="AD4" s="775"/>
    </row>
    <row r="5" spans="1:34" ht="9" customHeight="1">
      <c r="A5" s="774"/>
      <c r="B5" s="774"/>
      <c r="C5" s="772"/>
      <c r="D5" s="772"/>
      <c r="E5" s="772"/>
      <c r="F5" s="772"/>
      <c r="G5" s="772"/>
      <c r="H5" s="772"/>
      <c r="I5" s="772"/>
      <c r="J5" s="772"/>
      <c r="K5" s="772"/>
      <c r="L5" s="772"/>
      <c r="M5" s="772"/>
      <c r="N5" s="772"/>
      <c r="O5" s="772"/>
      <c r="P5" s="772"/>
      <c r="Q5" s="772"/>
      <c r="R5" s="772"/>
      <c r="S5" s="772"/>
      <c r="T5" s="772"/>
      <c r="U5" s="772"/>
      <c r="V5" s="772"/>
      <c r="W5" s="772"/>
      <c r="X5" s="772"/>
      <c r="Y5" s="927"/>
      <c r="Z5" s="775"/>
      <c r="AA5" s="778"/>
      <c r="AB5" s="775"/>
      <c r="AC5" s="775"/>
      <c r="AD5" s="775"/>
    </row>
    <row r="6" spans="1:34" ht="9" customHeight="1">
      <c r="A6" s="774"/>
      <c r="B6" s="774"/>
      <c r="C6" s="772"/>
      <c r="D6" s="772"/>
      <c r="E6" s="772"/>
      <c r="F6" s="772"/>
      <c r="G6" s="772"/>
      <c r="H6" s="772"/>
      <c r="I6" s="772"/>
      <c r="J6" s="772"/>
      <c r="K6" s="772"/>
      <c r="L6" s="772"/>
      <c r="M6" s="772"/>
      <c r="N6" s="772"/>
      <c r="O6" s="772"/>
      <c r="P6" s="772"/>
      <c r="Q6" s="772"/>
      <c r="R6" s="772"/>
      <c r="S6" s="772"/>
      <c r="T6" s="772"/>
      <c r="U6" s="772"/>
      <c r="V6" s="772"/>
      <c r="W6" s="772"/>
      <c r="X6" s="772"/>
      <c r="Y6" s="927"/>
      <c r="Z6" s="775"/>
      <c r="AA6" s="778"/>
      <c r="AB6" s="775"/>
      <c r="AC6" s="775"/>
      <c r="AD6" s="775"/>
    </row>
    <row r="7" spans="1:34" ht="9" customHeight="1">
      <c r="A7" s="774"/>
      <c r="B7" s="774"/>
      <c r="C7" s="772"/>
      <c r="D7" s="772"/>
      <c r="E7" s="772"/>
      <c r="F7" s="772"/>
      <c r="G7" s="772"/>
      <c r="H7" s="772"/>
      <c r="I7" s="772"/>
      <c r="J7" s="772"/>
      <c r="K7" s="772"/>
      <c r="L7" s="772"/>
      <c r="M7" s="772"/>
      <c r="N7" s="772"/>
      <c r="O7" s="772"/>
      <c r="P7" s="772"/>
      <c r="Q7" s="772"/>
      <c r="R7" s="772"/>
      <c r="S7" s="772"/>
      <c r="T7" s="772"/>
      <c r="U7" s="772"/>
      <c r="V7" s="772"/>
      <c r="W7" s="772"/>
      <c r="X7" s="772"/>
      <c r="Y7" s="927"/>
      <c r="Z7" s="775"/>
      <c r="AA7" s="778"/>
      <c r="AB7" s="775"/>
      <c r="AC7" s="775"/>
      <c r="AD7" s="775"/>
    </row>
    <row r="8" spans="1:34" ht="9" customHeight="1">
      <c r="A8" s="774"/>
      <c r="B8" s="774"/>
      <c r="C8" s="772"/>
      <c r="D8" s="772"/>
      <c r="E8" s="772"/>
      <c r="F8" s="772"/>
      <c r="G8" s="772"/>
      <c r="H8" s="772"/>
      <c r="I8" s="772"/>
      <c r="J8" s="772"/>
      <c r="K8" s="772"/>
      <c r="L8" s="772"/>
      <c r="M8" s="772"/>
      <c r="N8" s="772"/>
      <c r="O8" s="772"/>
      <c r="P8" s="772"/>
      <c r="Q8" s="772"/>
      <c r="R8" s="772"/>
      <c r="S8" s="772"/>
      <c r="T8" s="772"/>
      <c r="U8" s="772"/>
      <c r="V8" s="772"/>
      <c r="W8" s="772"/>
      <c r="X8" s="772"/>
      <c r="Y8" s="927"/>
      <c r="Z8" s="775"/>
      <c r="AA8" s="778"/>
      <c r="AB8" s="775"/>
      <c r="AC8" s="775"/>
      <c r="AD8" s="775"/>
    </row>
    <row r="9" spans="1:34" ht="9" customHeight="1">
      <c r="A9" s="774"/>
      <c r="B9" s="774"/>
      <c r="C9" s="772"/>
      <c r="D9" s="772"/>
      <c r="E9" s="772"/>
      <c r="F9" s="772"/>
      <c r="G9" s="772"/>
      <c r="H9" s="772"/>
      <c r="I9" s="772"/>
      <c r="J9" s="772"/>
      <c r="K9" s="772"/>
      <c r="L9" s="772"/>
      <c r="M9" s="772"/>
      <c r="N9" s="772"/>
      <c r="O9" s="772"/>
      <c r="P9" s="772"/>
      <c r="Q9" s="772"/>
      <c r="R9" s="772"/>
      <c r="S9" s="772"/>
      <c r="T9" s="772"/>
      <c r="U9" s="772"/>
      <c r="V9" s="772"/>
      <c r="W9" s="772"/>
      <c r="X9" s="772"/>
      <c r="Y9" s="927"/>
      <c r="Z9" s="775"/>
      <c r="AA9" s="778"/>
      <c r="AB9" s="775"/>
      <c r="AC9" s="775"/>
      <c r="AD9" s="775"/>
    </row>
    <row r="10" spans="1:34" ht="9" customHeight="1">
      <c r="A10" s="827"/>
      <c r="B10" s="827"/>
      <c r="C10" s="827"/>
      <c r="D10" s="827"/>
      <c r="E10" s="827"/>
      <c r="F10" s="827"/>
      <c r="G10" s="827"/>
      <c r="H10" s="827"/>
      <c r="I10" s="827"/>
      <c r="J10" s="827"/>
      <c r="K10" s="827"/>
      <c r="L10" s="827"/>
      <c r="M10" s="827"/>
      <c r="N10" s="827"/>
      <c r="O10" s="827"/>
      <c r="P10" s="827"/>
      <c r="Q10" s="827"/>
      <c r="R10" s="827"/>
      <c r="S10" s="827"/>
      <c r="T10" s="827"/>
      <c r="U10" s="827"/>
      <c r="V10" s="827"/>
      <c r="W10" s="827"/>
      <c r="X10" s="827"/>
      <c r="Y10" s="827"/>
      <c r="Z10" s="827"/>
      <c r="AA10" s="827"/>
      <c r="AB10" s="827"/>
      <c r="AC10" s="827"/>
      <c r="AD10" s="827"/>
    </row>
    <row r="11" spans="1:34" ht="45" customHeight="1">
      <c r="A11" s="2781" t="s">
        <v>33</v>
      </c>
      <c r="B11" s="827">
        <v>1</v>
      </c>
      <c r="C11" s="2787" t="s">
        <v>1749</v>
      </c>
      <c r="D11" s="2787" t="s">
        <v>1745</v>
      </c>
      <c r="E11" s="2787" t="s">
        <v>1844</v>
      </c>
      <c r="F11" s="2787" t="s">
        <v>2193</v>
      </c>
      <c r="G11" s="2787"/>
      <c r="H11" s="826" t="s">
        <v>2194</v>
      </c>
      <c r="I11" s="826"/>
      <c r="J11" s="826"/>
      <c r="K11" s="826"/>
      <c r="L11" s="826"/>
      <c r="M11" s="773" t="str">
        <f>IF(TEMPLATE_SPHERE="HEAT",T11,U11)</f>
        <v>Количество поданных заявок</v>
      </c>
      <c r="N11" s="773"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2"/>
      <c r="P11" s="772"/>
      <c r="Q11" s="772"/>
      <c r="R11" s="772"/>
      <c r="S11" s="772"/>
      <c r="T11" s="772" t="s">
        <v>2195</v>
      </c>
      <c r="U11" s="772" t="s">
        <v>2196</v>
      </c>
      <c r="V11" s="772"/>
      <c r="W11" s="772"/>
      <c r="X11" s="772"/>
      <c r="Y11" s="927"/>
      <c r="Z11" s="775" t="s">
        <v>2197</v>
      </c>
      <c r="AA11" s="778"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5"/>
      <c r="AC11" s="775"/>
      <c r="AD11" s="775"/>
    </row>
    <row r="12" spans="1:34" ht="45" customHeight="1">
      <c r="A12" s="2781"/>
      <c r="B12" s="827">
        <v>2</v>
      </c>
      <c r="C12" s="2788"/>
      <c r="D12" s="2788"/>
      <c r="E12" s="2788"/>
      <c r="F12" s="2788"/>
      <c r="G12" s="2788"/>
      <c r="H12" s="826" t="s">
        <v>2198</v>
      </c>
      <c r="I12" s="826"/>
      <c r="J12" s="826"/>
      <c r="K12" s="826"/>
      <c r="L12" s="826"/>
      <c r="M12" s="773" t="str">
        <f>IF(TEMPLATE_SPHERE="HEAT",T12,U12)</f>
        <v>Количество рассмотренных заявок</v>
      </c>
      <c r="N12" s="773"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2"/>
      <c r="P12" s="772"/>
      <c r="Q12" s="772"/>
      <c r="R12" s="772"/>
      <c r="S12" s="772"/>
      <c r="T12" s="772" t="s">
        <v>2199</v>
      </c>
      <c r="U12" s="772" t="s">
        <v>2200</v>
      </c>
      <c r="V12" s="772"/>
      <c r="W12" s="772"/>
      <c r="X12" s="772"/>
      <c r="Y12" s="927"/>
      <c r="Z12" s="775" t="s">
        <v>2201</v>
      </c>
      <c r="AA12" s="778"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5"/>
      <c r="AC12" s="775"/>
      <c r="AD12" s="775"/>
    </row>
    <row r="13" spans="1:34" ht="72" customHeight="1">
      <c r="A13" s="2781"/>
      <c r="B13" s="827">
        <v>3</v>
      </c>
      <c r="C13" s="2788"/>
      <c r="D13" s="2788"/>
      <c r="E13" s="2788"/>
      <c r="F13" s="2788"/>
      <c r="G13" s="2788"/>
      <c r="H13" s="2780" t="s">
        <v>2202</v>
      </c>
      <c r="I13" s="826"/>
      <c r="J13" s="826"/>
      <c r="K13" s="826"/>
      <c r="L13" s="826"/>
      <c r="M13" s="773"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3" t="str">
        <f t="shared" si="0"/>
        <v>Указывается количество заявок с решением об отказе в течение отчетного квартала.</v>
      </c>
      <c r="O13" s="772"/>
      <c r="P13" s="773"/>
      <c r="Q13" s="773"/>
      <c r="R13" s="773"/>
      <c r="S13" s="772"/>
      <c r="T13" s="772" t="s">
        <v>2203</v>
      </c>
      <c r="U13" s="773" t="s">
        <v>2204</v>
      </c>
      <c r="V13" s="773"/>
      <c r="W13" s="773"/>
      <c r="X13" s="772"/>
      <c r="Y13" s="927"/>
      <c r="Z13" s="775" t="s">
        <v>2205</v>
      </c>
      <c r="AA13" s="778"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5"/>
      <c r="AC13" s="775"/>
      <c r="AD13" s="775"/>
    </row>
    <row r="14" spans="1:34" ht="45" customHeight="1">
      <c r="A14" s="2781"/>
      <c r="B14" s="827">
        <v>4</v>
      </c>
      <c r="C14" s="2788"/>
      <c r="D14" s="2788"/>
      <c r="E14" s="2788"/>
      <c r="F14" s="2788"/>
      <c r="G14" s="2788"/>
      <c r="H14" s="2780"/>
      <c r="I14" s="829"/>
      <c r="J14" s="829"/>
      <c r="K14" s="829"/>
      <c r="L14" s="829"/>
      <c r="M14" s="776" t="str">
        <f>IF(TEMPLATE_SPHERE="HEAT",T14,U14)</f>
        <v>Причины отказа в заключении договора о подключении (технологическом присоединении) к системе теплоснабжения</v>
      </c>
      <c r="N14" s="773"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2"/>
      <c r="P14" s="773"/>
      <c r="Q14" s="773"/>
      <c r="R14" s="773"/>
      <c r="S14" s="772"/>
      <c r="T14" s="772" t="s">
        <v>2206</v>
      </c>
      <c r="U14" s="773"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3"/>
      <c r="W14" s="773"/>
      <c r="X14" s="772"/>
      <c r="Y14" s="927"/>
      <c r="Z14" s="775" t="s">
        <v>2207</v>
      </c>
      <c r="AA14" s="778" t="s">
        <v>2207</v>
      </c>
      <c r="AB14" s="775"/>
      <c r="AC14" s="775"/>
      <c r="AD14" s="775"/>
    </row>
    <row r="15" spans="1:34" ht="108" customHeight="1">
      <c r="A15" s="2781"/>
      <c r="B15" s="827">
        <v>5</v>
      </c>
      <c r="C15" s="2788"/>
      <c r="D15" s="2788"/>
      <c r="E15" s="2788"/>
      <c r="F15" s="2788"/>
      <c r="G15" s="2788"/>
      <c r="H15" s="2782" t="s">
        <v>2208</v>
      </c>
      <c r="I15" s="828"/>
      <c r="J15" s="828"/>
      <c r="K15" s="828"/>
      <c r="L15" s="828"/>
      <c r="M15" s="778" t="str">
        <f>IF(TEMPLATE_SPHERE="HEAT",T15,U15)</f>
        <v>Резерв мощности источников тепловой энергии, входящих в систему теплоснабжения, в течение одного квартала, в том числе:</v>
      </c>
      <c r="N15" s="777"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2"/>
      <c r="P15" s="773"/>
      <c r="Q15" s="773"/>
      <c r="R15" s="773"/>
      <c r="S15" s="772"/>
      <c r="T15" s="772" t="s">
        <v>2209</v>
      </c>
      <c r="U15" s="773"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3"/>
      <c r="W15" s="773"/>
      <c r="X15" s="772"/>
      <c r="Y15" s="927"/>
      <c r="Z15" s="775" t="s">
        <v>2210</v>
      </c>
      <c r="AA15" s="778"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5"/>
      <c r="AC15" s="775"/>
      <c r="AD15" s="775"/>
    </row>
    <row r="16" spans="1:34" ht="108" customHeight="1">
      <c r="A16" s="827"/>
      <c r="B16" s="827">
        <v>6</v>
      </c>
      <c r="C16" s="2789"/>
      <c r="D16" s="2789"/>
      <c r="E16" s="2789"/>
      <c r="F16" s="2789"/>
      <c r="G16" s="2789"/>
      <c r="H16" s="2783"/>
      <c r="I16" s="889"/>
      <c r="J16" s="889"/>
      <c r="K16" s="889"/>
      <c r="L16" s="889"/>
      <c r="M16" s="820"/>
      <c r="N16" s="777"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2"/>
      <c r="P16" s="773"/>
      <c r="Q16" s="773"/>
      <c r="R16" s="773"/>
      <c r="S16" s="772"/>
      <c r="T16" s="772"/>
      <c r="U16" s="773"/>
      <c r="V16" s="773"/>
      <c r="W16" s="773"/>
      <c r="X16" s="772"/>
      <c r="Y16" s="927"/>
      <c r="Z16" s="775" t="s">
        <v>2210</v>
      </c>
      <c r="AA16" s="778"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5"/>
      <c r="AC16" s="775"/>
      <c r="AD16" s="775"/>
    </row>
    <row r="17" spans="1:30" ht="9" customHeight="1">
      <c r="A17" s="827"/>
      <c r="B17" s="827"/>
      <c r="C17" s="827">
        <v>22</v>
      </c>
      <c r="D17" s="827">
        <v>21</v>
      </c>
      <c r="E17" s="827">
        <v>42</v>
      </c>
      <c r="F17" s="827">
        <v>63</v>
      </c>
      <c r="G17" s="827"/>
      <c r="H17" s="827"/>
      <c r="I17" s="827"/>
      <c r="J17" s="827"/>
      <c r="K17" s="827"/>
      <c r="L17" s="827"/>
      <c r="M17" s="827"/>
      <c r="N17" s="827"/>
      <c r="O17" s="827"/>
      <c r="P17" s="827"/>
      <c r="Q17" s="827"/>
      <c r="R17" s="827"/>
      <c r="S17" s="827"/>
      <c r="T17" s="827"/>
      <c r="U17" s="827"/>
      <c r="V17" s="827"/>
      <c r="W17" s="827"/>
      <c r="X17" s="827"/>
      <c r="Y17" s="827"/>
      <c r="Z17" s="827"/>
      <c r="AA17" s="827"/>
      <c r="AB17" s="827"/>
      <c r="AC17" s="827"/>
      <c r="AD17" s="827"/>
    </row>
    <row r="18" spans="1:30" ht="27" customHeight="1">
      <c r="A18" s="774" t="s">
        <v>1847</v>
      </c>
      <c r="B18" s="827">
        <v>1</v>
      </c>
      <c r="C18" s="772" t="s">
        <v>2194</v>
      </c>
      <c r="D18" s="894" t="s">
        <v>2194</v>
      </c>
      <c r="E18" s="772" t="s">
        <v>2194</v>
      </c>
      <c r="F18" s="772" t="s">
        <v>2194</v>
      </c>
      <c r="G18" s="772"/>
      <c r="H18" s="929"/>
      <c r="I18" s="932">
        <f t="shared" ref="I18:I49" si="1">INDEX(TEMPLATE_NUMBER_POINT_FHD,B18,MATCH(TEMPLATE_SPHERE,TEMPLATE_SPHERE_LIST_FOR_NOTE,0))</f>
        <v>1</v>
      </c>
      <c r="J18" s="932"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2"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3">
        <f t="shared" ref="L18:L49" si="4">IF(I18=0,"",I18)</f>
        <v>1</v>
      </c>
      <c r="M18" s="773" t="str">
        <f t="shared" ref="M18:M49" si="5">IF(J18=0,"",J18)</f>
        <v>Выручка от регулируемого вида деятельности с распределением по видам деятельности</v>
      </c>
      <c r="N18" s="773" t="str">
        <f t="shared" ref="N18:N49" si="6">IF(K18=0,"",K18)</f>
        <v>Указывается выручка от регулируемого вида деятельности с распределением по видам деятельности.</v>
      </c>
      <c r="O18" s="884">
        <v>1</v>
      </c>
      <c r="P18" s="884">
        <v>1</v>
      </c>
      <c r="Q18" s="884">
        <v>1</v>
      </c>
      <c r="R18" s="884">
        <v>1</v>
      </c>
      <c r="S18" s="884"/>
      <c r="T18" s="891" t="s">
        <v>2211</v>
      </c>
      <c r="U18" s="775" t="s">
        <v>2212</v>
      </c>
      <c r="V18" s="775" t="s">
        <v>2213</v>
      </c>
      <c r="W18" s="775" t="s">
        <v>2214</v>
      </c>
      <c r="X18" s="772"/>
      <c r="Y18" s="927"/>
      <c r="Z18" s="775" t="s">
        <v>2215</v>
      </c>
      <c r="AA18" s="778" t="s">
        <v>2216</v>
      </c>
      <c r="AB18" s="778" t="s">
        <v>2216</v>
      </c>
      <c r="AC18" s="778" t="s">
        <v>2216</v>
      </c>
      <c r="AD18" s="775"/>
    </row>
    <row r="19" spans="1:30" ht="36" customHeight="1">
      <c r="A19" s="774"/>
      <c r="B19" s="827">
        <v>2</v>
      </c>
      <c r="C19" s="772" t="s">
        <v>2198</v>
      </c>
      <c r="D19" s="894" t="s">
        <v>2198</v>
      </c>
      <c r="E19" s="772" t="s">
        <v>2198</v>
      </c>
      <c r="F19" s="772" t="s">
        <v>2198</v>
      </c>
      <c r="G19" s="772"/>
      <c r="H19" s="929"/>
      <c r="I19" s="932">
        <f t="shared" si="1"/>
        <v>2</v>
      </c>
      <c r="J19" s="932" t="str">
        <f t="shared" si="2"/>
        <v>Себестоимость производимых товаров (оказываемых услуг) по регулируемому виду деятельности, включая:</v>
      </c>
      <c r="K19" s="932" t="str">
        <f t="shared" si="3"/>
        <v>Указывается суммарная себестоимость производимых товаров.</v>
      </c>
      <c r="L19" s="773">
        <f t="shared" si="4"/>
        <v>2</v>
      </c>
      <c r="M19" s="773" t="str">
        <f t="shared" si="5"/>
        <v>Себестоимость производимых товаров (оказываемых услуг) по регулируемому виду деятельности, включая:</v>
      </c>
      <c r="N19" s="773" t="str">
        <f t="shared" si="6"/>
        <v>Указывается суммарная себестоимость производимых товаров.</v>
      </c>
      <c r="O19" s="884">
        <v>2</v>
      </c>
      <c r="P19" s="884">
        <v>2</v>
      </c>
      <c r="Q19" s="884">
        <v>2</v>
      </c>
      <c r="R19" s="884">
        <v>2</v>
      </c>
      <c r="S19" s="884"/>
      <c r="T19" s="891" t="s">
        <v>2217</v>
      </c>
      <c r="U19" s="775" t="s">
        <v>2218</v>
      </c>
      <c r="V19" s="775" t="s">
        <v>2219</v>
      </c>
      <c r="W19" s="775" t="s">
        <v>2220</v>
      </c>
      <c r="X19" s="772"/>
      <c r="Y19" s="927"/>
      <c r="Z19" s="775" t="s">
        <v>2221</v>
      </c>
      <c r="AA19" s="778" t="s">
        <v>2221</v>
      </c>
      <c r="AB19" s="778" t="s">
        <v>2221</v>
      </c>
      <c r="AC19" s="778" t="s">
        <v>2221</v>
      </c>
      <c r="AD19" s="775"/>
    </row>
    <row r="20" spans="1:30" ht="27" customHeight="1">
      <c r="A20" s="774"/>
      <c r="B20" s="827">
        <v>3</v>
      </c>
      <c r="C20" s="772">
        <v>1</v>
      </c>
      <c r="D20" s="894"/>
      <c r="E20" s="772"/>
      <c r="F20" s="772"/>
      <c r="G20" s="772"/>
      <c r="H20" s="929"/>
      <c r="I20" s="932" t="str">
        <f t="shared" si="1"/>
        <v>2.1</v>
      </c>
      <c r="J20" s="932" t="str">
        <f t="shared" si="2"/>
        <v>Расходы на приобретаемую тепловую энергию (мощность), теплоноситель</v>
      </c>
      <c r="K20" s="932">
        <f t="shared" si="3"/>
        <v>0</v>
      </c>
      <c r="L20" s="773" t="str">
        <f t="shared" si="4"/>
        <v>2.1</v>
      </c>
      <c r="M20" s="773" t="str">
        <f t="shared" si="5"/>
        <v>Расходы на приобретаемую тепловую энергию (мощность), теплоноситель</v>
      </c>
      <c r="N20" s="773" t="str">
        <f t="shared" si="6"/>
        <v/>
      </c>
      <c r="O20" s="884" t="s">
        <v>854</v>
      </c>
      <c r="P20" s="884" t="s">
        <v>854</v>
      </c>
      <c r="Q20" s="884" t="s">
        <v>854</v>
      </c>
      <c r="R20" s="884" t="s">
        <v>854</v>
      </c>
      <c r="S20" s="884"/>
      <c r="T20" s="891" t="s">
        <v>2222</v>
      </c>
      <c r="U20" s="775" t="s">
        <v>2223</v>
      </c>
      <c r="V20" s="775" t="s">
        <v>2224</v>
      </c>
      <c r="W20" s="775" t="s">
        <v>2225</v>
      </c>
      <c r="X20" s="772"/>
      <c r="Y20" s="927"/>
      <c r="Z20" s="775"/>
      <c r="AA20" s="778"/>
      <c r="AB20" s="775"/>
      <c r="AC20" s="775"/>
      <c r="AD20" s="775"/>
    </row>
    <row r="21" spans="1:30" ht="36" customHeight="1">
      <c r="A21" s="774"/>
      <c r="B21" s="827">
        <v>4</v>
      </c>
      <c r="C21" s="772">
        <v>2</v>
      </c>
      <c r="D21" s="894"/>
      <c r="E21" s="772"/>
      <c r="F21" s="772"/>
      <c r="G21" s="772"/>
      <c r="H21" s="929"/>
      <c r="I21" s="932" t="str">
        <f t="shared" si="1"/>
        <v>2.2</v>
      </c>
      <c r="J21" s="932"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2" t="str">
        <f t="shared" si="3"/>
        <v>Указываются суммарные расходы на приобретение топлива всех видов.</v>
      </c>
      <c r="L21" s="773" t="str">
        <f t="shared" si="4"/>
        <v>2.2</v>
      </c>
      <c r="M21" s="773"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3" t="str">
        <f t="shared" si="6"/>
        <v>Указываются суммарные расходы на приобретение топлива всех видов.</v>
      </c>
      <c r="O21" s="884" t="s">
        <v>326</v>
      </c>
      <c r="P21" s="884"/>
      <c r="Q21" s="884"/>
      <c r="R21" s="884"/>
      <c r="S21" s="884"/>
      <c r="T21" s="891" t="s">
        <v>2226</v>
      </c>
      <c r="U21" s="775"/>
      <c r="V21" s="775"/>
      <c r="W21" s="775"/>
      <c r="X21" s="772"/>
      <c r="Y21" s="927"/>
      <c r="Z21" s="775" t="s">
        <v>2227</v>
      </c>
      <c r="AA21" s="778"/>
      <c r="AB21" s="775"/>
      <c r="AC21" s="775"/>
      <c r="AD21" s="775"/>
    </row>
    <row r="22" spans="1:30" ht="36" customHeight="1">
      <c r="A22" s="774"/>
      <c r="B22" s="827">
        <v>5</v>
      </c>
      <c r="C22" s="772">
        <v>3</v>
      </c>
      <c r="D22" s="894"/>
      <c r="E22" s="772"/>
      <c r="F22" s="772"/>
      <c r="G22" s="819"/>
      <c r="H22" s="885"/>
      <c r="I22" s="932">
        <f t="shared" si="1"/>
        <v>0</v>
      </c>
      <c r="J22" s="932">
        <f t="shared" si="2"/>
        <v>0</v>
      </c>
      <c r="K22" s="932">
        <f t="shared" si="3"/>
        <v>0</v>
      </c>
      <c r="L22" s="773" t="str">
        <f t="shared" si="4"/>
        <v/>
      </c>
      <c r="M22" s="773" t="str">
        <f t="shared" si="5"/>
        <v/>
      </c>
      <c r="N22" s="773" t="str">
        <f t="shared" si="6"/>
        <v/>
      </c>
      <c r="O22" s="884"/>
      <c r="P22" s="884"/>
      <c r="Q22" s="884" t="s">
        <v>326</v>
      </c>
      <c r="R22" s="884"/>
      <c r="S22" s="884"/>
      <c r="T22" s="891"/>
      <c r="U22" s="775"/>
      <c r="V22" s="775" t="s">
        <v>2228</v>
      </c>
      <c r="W22" s="775"/>
      <c r="X22" s="772"/>
      <c r="Y22" s="927"/>
      <c r="Z22" s="775"/>
      <c r="AA22" s="778"/>
      <c r="AB22" s="775"/>
      <c r="AC22" s="775"/>
      <c r="AD22" s="775"/>
    </row>
    <row r="23" spans="1:30" ht="27" customHeight="1">
      <c r="A23" s="774"/>
      <c r="B23" s="827">
        <v>6</v>
      </c>
      <c r="C23" s="772">
        <v>4</v>
      </c>
      <c r="D23" s="894"/>
      <c r="E23" s="772"/>
      <c r="F23" s="772"/>
      <c r="G23" s="819"/>
      <c r="H23" s="885"/>
      <c r="I23" s="932">
        <f t="shared" si="1"/>
        <v>0</v>
      </c>
      <c r="J23" s="932">
        <f t="shared" si="2"/>
        <v>0</v>
      </c>
      <c r="K23" s="932">
        <f t="shared" si="3"/>
        <v>0</v>
      </c>
      <c r="L23" s="773" t="str">
        <f t="shared" si="4"/>
        <v/>
      </c>
      <c r="M23" s="773" t="str">
        <f t="shared" si="5"/>
        <v/>
      </c>
      <c r="N23" s="773" t="str">
        <f t="shared" si="6"/>
        <v/>
      </c>
      <c r="O23" s="884"/>
      <c r="P23" s="884"/>
      <c r="Q23" s="884" t="s">
        <v>329</v>
      </c>
      <c r="R23" s="884"/>
      <c r="S23" s="884"/>
      <c r="T23" s="891"/>
      <c r="U23" s="775"/>
      <c r="V23" s="775" t="s">
        <v>2229</v>
      </c>
      <c r="W23" s="775"/>
      <c r="X23" s="772"/>
      <c r="Y23" s="927"/>
      <c r="Z23" s="775"/>
      <c r="AA23" s="778"/>
      <c r="AB23" s="775"/>
      <c r="AC23" s="775"/>
      <c r="AD23" s="775"/>
    </row>
    <row r="24" spans="1:30" ht="36" customHeight="1">
      <c r="A24" s="774"/>
      <c r="B24" s="827">
        <v>7</v>
      </c>
      <c r="C24" s="772">
        <v>5</v>
      </c>
      <c r="D24" s="894"/>
      <c r="E24" s="772"/>
      <c r="F24" s="772"/>
      <c r="G24" s="819"/>
      <c r="H24" s="885"/>
      <c r="I24" s="932">
        <f t="shared" si="1"/>
        <v>0</v>
      </c>
      <c r="J24" s="932">
        <f t="shared" si="2"/>
        <v>0</v>
      </c>
      <c r="K24" s="932">
        <f t="shared" si="3"/>
        <v>0</v>
      </c>
      <c r="L24" s="773" t="str">
        <f t="shared" si="4"/>
        <v/>
      </c>
      <c r="M24" s="773" t="str">
        <f t="shared" si="5"/>
        <v/>
      </c>
      <c r="N24" s="773" t="str">
        <f t="shared" si="6"/>
        <v/>
      </c>
      <c r="O24" s="884"/>
      <c r="P24" s="884"/>
      <c r="Q24" s="884" t="s">
        <v>874</v>
      </c>
      <c r="R24" s="884"/>
      <c r="S24" s="884"/>
      <c r="T24" s="891"/>
      <c r="U24" s="775"/>
      <c r="V24" s="775" t="s">
        <v>2230</v>
      </c>
      <c r="W24" s="775"/>
      <c r="X24" s="772"/>
      <c r="Y24" s="927"/>
      <c r="Z24" s="775"/>
      <c r="AA24" s="778"/>
      <c r="AB24" s="775"/>
      <c r="AC24" s="775"/>
      <c r="AD24" s="775"/>
    </row>
    <row r="25" spans="1:30" ht="36" customHeight="1">
      <c r="A25" s="774"/>
      <c r="B25" s="827">
        <v>8</v>
      </c>
      <c r="C25" s="772">
        <v>6</v>
      </c>
      <c r="D25" s="894"/>
      <c r="E25" s="772"/>
      <c r="F25" s="772"/>
      <c r="G25" s="819"/>
      <c r="H25" s="885"/>
      <c r="I25" s="932" t="str">
        <f t="shared" si="1"/>
        <v>2.3</v>
      </c>
      <c r="J25" s="932" t="str">
        <f t="shared" si="2"/>
        <v>Расходы на приобретаемую электрическую энергию (мощность), используемую в технологическом процессе</v>
      </c>
      <c r="K25" s="932">
        <f t="shared" si="3"/>
        <v>0</v>
      </c>
      <c r="L25" s="773" t="str">
        <f t="shared" si="4"/>
        <v>2.3</v>
      </c>
      <c r="M25" s="773" t="str">
        <f t="shared" si="5"/>
        <v>Расходы на приобретаемую электрическую энергию (мощность), используемую в технологическом процессе</v>
      </c>
      <c r="N25" s="773" t="str">
        <f t="shared" si="6"/>
        <v/>
      </c>
      <c r="O25" s="884" t="s">
        <v>329</v>
      </c>
      <c r="P25" s="884" t="s">
        <v>326</v>
      </c>
      <c r="Q25" s="884" t="s">
        <v>881</v>
      </c>
      <c r="R25" s="884" t="s">
        <v>326</v>
      </c>
      <c r="S25" s="884"/>
      <c r="T25" s="891" t="s">
        <v>2231</v>
      </c>
      <c r="U25" s="775" t="s">
        <v>2231</v>
      </c>
      <c r="V25" s="775" t="s">
        <v>2231</v>
      </c>
      <c r="W25" s="775" t="s">
        <v>2231</v>
      </c>
      <c r="X25" s="772"/>
      <c r="Y25" s="927"/>
      <c r="Z25" s="775"/>
      <c r="AA25" s="778"/>
      <c r="AB25" s="775"/>
      <c r="AC25" s="775"/>
      <c r="AD25" s="775"/>
    </row>
    <row r="26" spans="1:30" ht="18" customHeight="1">
      <c r="A26" s="774"/>
      <c r="B26" s="827">
        <v>9</v>
      </c>
      <c r="C26" s="772" t="s">
        <v>798</v>
      </c>
      <c r="D26" s="894"/>
      <c r="E26" s="772"/>
      <c r="F26" s="772"/>
      <c r="G26" s="819"/>
      <c r="H26" s="885"/>
      <c r="I26" s="932" t="str">
        <f t="shared" si="1"/>
        <v>2.3.1</v>
      </c>
      <c r="J26" s="932" t="str">
        <f t="shared" si="2"/>
        <v>Средневзвешенная стоимость 1 кВт.ч (с учетом мощности)</v>
      </c>
      <c r="K26" s="932">
        <f t="shared" si="3"/>
        <v>0</v>
      </c>
      <c r="L26" s="773" t="str">
        <f t="shared" si="4"/>
        <v>2.3.1</v>
      </c>
      <c r="M26" s="773" t="str">
        <f t="shared" si="5"/>
        <v>Средневзвешенная стоимость 1 кВт.ч (с учетом мощности)</v>
      </c>
      <c r="N26" s="773" t="str">
        <f t="shared" si="6"/>
        <v/>
      </c>
      <c r="O26" s="884" t="s">
        <v>870</v>
      </c>
      <c r="P26" s="884" t="s">
        <v>864</v>
      </c>
      <c r="Q26" s="884" t="s">
        <v>2232</v>
      </c>
      <c r="R26" s="884" t="s">
        <v>864</v>
      </c>
      <c r="S26" s="884"/>
      <c r="T26" s="891"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1" t="s">
        <v>2233</v>
      </c>
      <c r="V26" s="891" t="s">
        <v>2233</v>
      </c>
      <c r="W26" s="891" t="s">
        <v>2233</v>
      </c>
      <c r="X26" s="772"/>
      <c r="Y26" s="927"/>
      <c r="Z26" s="775"/>
      <c r="AA26" s="778"/>
      <c r="AB26" s="775"/>
      <c r="AC26" s="775"/>
      <c r="AD26" s="775"/>
    </row>
    <row r="27" spans="1:30" ht="18" customHeight="1">
      <c r="A27" s="774"/>
      <c r="B27" s="827">
        <v>10</v>
      </c>
      <c r="C27" s="772" t="s">
        <v>802</v>
      </c>
      <c r="D27" s="894"/>
      <c r="E27" s="772"/>
      <c r="F27" s="772"/>
      <c r="G27" s="819"/>
      <c r="H27" s="885"/>
      <c r="I27" s="932" t="str">
        <f t="shared" si="1"/>
        <v>2.3.2</v>
      </c>
      <c r="J27" s="932" t="str">
        <f t="shared" si="2"/>
        <v>Объём приобретения электрической энергии</v>
      </c>
      <c r="K27" s="932">
        <f t="shared" si="3"/>
        <v>0</v>
      </c>
      <c r="L27" s="773" t="str">
        <f t="shared" si="4"/>
        <v>2.3.2</v>
      </c>
      <c r="M27" s="773" t="str">
        <f t="shared" si="5"/>
        <v>Объём приобретения электрической энергии</v>
      </c>
      <c r="N27" s="773" t="str">
        <f t="shared" si="6"/>
        <v/>
      </c>
      <c r="O27" s="884" t="s">
        <v>872</v>
      </c>
      <c r="P27" s="884" t="s">
        <v>866</v>
      </c>
      <c r="Q27" s="884" t="s">
        <v>2234</v>
      </c>
      <c r="R27" s="884" t="s">
        <v>866</v>
      </c>
      <c r="S27" s="884"/>
      <c r="T27" s="891" t="s">
        <v>2235</v>
      </c>
      <c r="U27" s="891" t="s">
        <v>2235</v>
      </c>
      <c r="V27" s="891" t="s">
        <v>2235</v>
      </c>
      <c r="W27" s="891" t="s">
        <v>2235</v>
      </c>
      <c r="X27" s="772"/>
      <c r="Y27" s="927"/>
      <c r="Z27" s="775"/>
      <c r="AA27" s="778"/>
      <c r="AB27" s="775"/>
      <c r="AC27" s="775"/>
      <c r="AD27" s="775"/>
    </row>
    <row r="28" spans="1:30" ht="27" customHeight="1">
      <c r="A28" s="774"/>
      <c r="B28" s="827">
        <v>11</v>
      </c>
      <c r="C28" s="772">
        <v>7</v>
      </c>
      <c r="D28" s="894"/>
      <c r="E28" s="772"/>
      <c r="F28" s="772"/>
      <c r="G28" s="819"/>
      <c r="H28" s="885"/>
      <c r="I28" s="932" t="str">
        <f t="shared" si="1"/>
        <v>2.4</v>
      </c>
      <c r="J28" s="932" t="str">
        <f t="shared" si="2"/>
        <v>Расходы на приобретение холодной воды, используемой в технологическом процессе</v>
      </c>
      <c r="K28" s="932">
        <f t="shared" si="3"/>
        <v>0</v>
      </c>
      <c r="L28" s="773" t="str">
        <f t="shared" si="4"/>
        <v>2.4</v>
      </c>
      <c r="M28" s="773" t="str">
        <f t="shared" si="5"/>
        <v>Расходы на приобретение холодной воды, используемой в технологическом процессе</v>
      </c>
      <c r="N28" s="773" t="str">
        <f t="shared" si="6"/>
        <v/>
      </c>
      <c r="O28" s="884" t="s">
        <v>874</v>
      </c>
      <c r="P28" s="884"/>
      <c r="Q28" s="884"/>
      <c r="R28" s="884"/>
      <c r="S28" s="884"/>
      <c r="T28" s="891" t="s">
        <v>2236</v>
      </c>
      <c r="U28" s="775"/>
      <c r="V28" s="775"/>
      <c r="W28" s="775"/>
      <c r="X28" s="772"/>
      <c r="Y28" s="927"/>
      <c r="Z28" s="775"/>
      <c r="AA28" s="778"/>
      <c r="AB28" s="775"/>
      <c r="AC28" s="775"/>
      <c r="AD28" s="775"/>
    </row>
    <row r="29" spans="1:30" ht="27" customHeight="1">
      <c r="A29" s="774"/>
      <c r="B29" s="827">
        <v>12</v>
      </c>
      <c r="C29" s="772">
        <v>8</v>
      </c>
      <c r="D29" s="894"/>
      <c r="E29" s="772"/>
      <c r="F29" s="772"/>
      <c r="G29" s="819"/>
      <c r="H29" s="885"/>
      <c r="I29" s="932" t="str">
        <f t="shared" si="1"/>
        <v>2.5</v>
      </c>
      <c r="J29" s="932" t="str">
        <f t="shared" si="2"/>
        <v>Расходы на  химические реагенты, используемые в технологическом процессе</v>
      </c>
      <c r="K29" s="932">
        <f t="shared" si="3"/>
        <v>0</v>
      </c>
      <c r="L29" s="773" t="str">
        <f t="shared" si="4"/>
        <v>2.5</v>
      </c>
      <c r="M29" s="773" t="str">
        <f t="shared" si="5"/>
        <v>Расходы на  химические реагенты, используемые в технологическом процессе</v>
      </c>
      <c r="N29" s="773" t="str">
        <f t="shared" si="6"/>
        <v/>
      </c>
      <c r="O29" s="884" t="s">
        <v>881</v>
      </c>
      <c r="P29" s="884" t="s">
        <v>329</v>
      </c>
      <c r="Q29" s="884"/>
      <c r="R29" s="884" t="s">
        <v>329</v>
      </c>
      <c r="S29" s="884"/>
      <c r="T29" s="891"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5" t="s">
        <v>2237</v>
      </c>
      <c r="V29" s="775"/>
      <c r="W29" s="775" t="s">
        <v>2237</v>
      </c>
      <c r="X29" s="772"/>
      <c r="Y29" s="927"/>
      <c r="Z29" s="775"/>
      <c r="AA29" s="778"/>
      <c r="AB29" s="775"/>
      <c r="AC29" s="775"/>
      <c r="AD29" s="775"/>
    </row>
    <row r="30" spans="1:30" ht="54" customHeight="1">
      <c r="A30" s="774"/>
      <c r="B30" s="827">
        <v>13</v>
      </c>
      <c r="C30" s="772">
        <v>9</v>
      </c>
      <c r="D30" s="894"/>
      <c r="E30" s="772"/>
      <c r="F30" s="772"/>
      <c r="G30" s="819"/>
      <c r="H30" s="885"/>
      <c r="I30" s="932" t="str">
        <f t="shared" si="1"/>
        <v>2.6</v>
      </c>
      <c r="J30" s="932"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2">
        <f t="shared" si="3"/>
        <v>0</v>
      </c>
      <c r="L30" s="773" t="str">
        <f t="shared" si="4"/>
        <v>2.6</v>
      </c>
      <c r="M30" s="773"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3" t="str">
        <f t="shared" si="6"/>
        <v/>
      </c>
      <c r="O30" s="884" t="s">
        <v>883</v>
      </c>
      <c r="P30" s="884" t="s">
        <v>874</v>
      </c>
      <c r="Q30" s="884" t="s">
        <v>883</v>
      </c>
      <c r="R30" s="884" t="s">
        <v>874</v>
      </c>
      <c r="S30" s="884"/>
      <c r="T30" s="891" t="s">
        <v>2238</v>
      </c>
      <c r="U30" s="775" t="s">
        <v>2238</v>
      </c>
      <c r="V30" s="775" t="s">
        <v>2238</v>
      </c>
      <c r="W30" s="775" t="s">
        <v>2238</v>
      </c>
      <c r="X30" s="772"/>
      <c r="Y30" s="927"/>
      <c r="Z30" s="775"/>
      <c r="AA30" s="778" t="s">
        <v>2239</v>
      </c>
      <c r="AB30" s="778" t="s">
        <v>2239</v>
      </c>
      <c r="AC30" s="778" t="s">
        <v>2239</v>
      </c>
      <c r="AD30" s="775"/>
    </row>
    <row r="31" spans="1:30" ht="18" customHeight="1">
      <c r="A31" s="774"/>
      <c r="B31" s="827">
        <v>14</v>
      </c>
      <c r="C31" s="772" t="s">
        <v>2240</v>
      </c>
      <c r="D31" s="894"/>
      <c r="E31" s="772"/>
      <c r="F31" s="772"/>
      <c r="G31" s="819"/>
      <c r="H31" s="885"/>
      <c r="I31" s="932" t="str">
        <f t="shared" si="1"/>
        <v>2.6.1</v>
      </c>
      <c r="J31" s="932" t="str">
        <f t="shared" si="2"/>
        <v>Расходы на оплату труда основного производственного персонала</v>
      </c>
      <c r="K31" s="932">
        <f t="shared" si="3"/>
        <v>0</v>
      </c>
      <c r="L31" s="773" t="str">
        <f t="shared" si="4"/>
        <v>2.6.1</v>
      </c>
      <c r="M31" s="773" t="str">
        <f t="shared" si="5"/>
        <v>Расходы на оплату труда основного производственного персонала</v>
      </c>
      <c r="N31" s="773" t="str">
        <f t="shared" si="6"/>
        <v/>
      </c>
      <c r="O31" s="884" t="s">
        <v>2241</v>
      </c>
      <c r="P31" s="884" t="s">
        <v>877</v>
      </c>
      <c r="Q31" s="884" t="s">
        <v>2241</v>
      </c>
      <c r="R31" s="884" t="s">
        <v>877</v>
      </c>
      <c r="S31" s="884"/>
      <c r="T31" s="892" t="s">
        <v>2242</v>
      </c>
      <c r="U31" s="775" t="s">
        <v>2242</v>
      </c>
      <c r="V31" s="775" t="s">
        <v>2242</v>
      </c>
      <c r="W31" s="775" t="s">
        <v>2242</v>
      </c>
      <c r="X31" s="772"/>
      <c r="Y31" s="927"/>
      <c r="Z31" s="775"/>
      <c r="AA31" s="778"/>
      <c r="AB31" s="778"/>
      <c r="AC31" s="778"/>
      <c r="AD31" s="775"/>
    </row>
    <row r="32" spans="1:30" ht="36" customHeight="1">
      <c r="A32" s="774"/>
      <c r="B32" s="827">
        <v>15</v>
      </c>
      <c r="C32" s="772" t="s">
        <v>2243</v>
      </c>
      <c r="D32" s="894"/>
      <c r="E32" s="772"/>
      <c r="F32" s="772"/>
      <c r="G32" s="819"/>
      <c r="H32" s="885"/>
      <c r="I32" s="932" t="str">
        <f t="shared" si="1"/>
        <v>2.6.2</v>
      </c>
      <c r="J32" s="932"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2">
        <f t="shared" si="3"/>
        <v>0</v>
      </c>
      <c r="L32" s="773" t="str">
        <f t="shared" si="4"/>
        <v>2.6.2</v>
      </c>
      <c r="M32" s="773"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3" t="str">
        <f t="shared" si="6"/>
        <v/>
      </c>
      <c r="O32" s="884" t="s">
        <v>2244</v>
      </c>
      <c r="P32" s="884" t="s">
        <v>879</v>
      </c>
      <c r="Q32" s="884" t="s">
        <v>2244</v>
      </c>
      <c r="R32" s="884" t="s">
        <v>879</v>
      </c>
      <c r="S32" s="884"/>
      <c r="T32" s="893"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5" t="s">
        <v>2245</v>
      </c>
      <c r="V32" s="775" t="s">
        <v>2245</v>
      </c>
      <c r="W32" s="775" t="s">
        <v>2245</v>
      </c>
      <c r="X32" s="772"/>
      <c r="Y32" s="927"/>
      <c r="Z32" s="775"/>
      <c r="AA32" s="778"/>
      <c r="AB32" s="778"/>
      <c r="AC32" s="778"/>
      <c r="AD32" s="775"/>
    </row>
    <row r="33" spans="1:30" ht="45" customHeight="1">
      <c r="A33" s="774"/>
      <c r="B33" s="827">
        <v>16</v>
      </c>
      <c r="C33" s="772">
        <v>10</v>
      </c>
      <c r="D33" s="894"/>
      <c r="E33" s="772"/>
      <c r="F33" s="772"/>
      <c r="G33" s="819"/>
      <c r="H33" s="885"/>
      <c r="I33" s="932" t="str">
        <f t="shared" si="1"/>
        <v>2.7</v>
      </c>
      <c r="J33" s="932"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2">
        <f t="shared" si="3"/>
        <v>0</v>
      </c>
      <c r="L33" s="773" t="str">
        <f t="shared" si="4"/>
        <v>2.7</v>
      </c>
      <c r="M33" s="773"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3" t="str">
        <f t="shared" si="6"/>
        <v/>
      </c>
      <c r="O33" s="884" t="s">
        <v>885</v>
      </c>
      <c r="P33" s="884" t="s">
        <v>881</v>
      </c>
      <c r="Q33" s="884" t="s">
        <v>885</v>
      </c>
      <c r="R33" s="884" t="s">
        <v>881</v>
      </c>
      <c r="S33" s="884"/>
      <c r="T33" s="892"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5" t="s">
        <v>2246</v>
      </c>
      <c r="V33" s="775" t="s">
        <v>2246</v>
      </c>
      <c r="W33" s="775" t="s">
        <v>2247</v>
      </c>
      <c r="X33" s="772"/>
      <c r="Y33" s="927"/>
      <c r="Z33" s="775"/>
      <c r="AA33" s="778" t="s">
        <v>2248</v>
      </c>
      <c r="AB33" s="778" t="s">
        <v>2248</v>
      </c>
      <c r="AC33" s="778" t="s">
        <v>2248</v>
      </c>
      <c r="AD33" s="775"/>
    </row>
    <row r="34" spans="1:30" ht="27" customHeight="1">
      <c r="A34" s="774"/>
      <c r="B34" s="827">
        <v>17</v>
      </c>
      <c r="C34" s="772" t="s">
        <v>2249</v>
      </c>
      <c r="D34" s="894"/>
      <c r="E34" s="772"/>
      <c r="F34" s="772"/>
      <c r="G34" s="819"/>
      <c r="H34" s="885"/>
      <c r="I34" s="932" t="str">
        <f t="shared" si="1"/>
        <v>2.7.1</v>
      </c>
      <c r="J34" s="932" t="str">
        <f t="shared" si="2"/>
        <v>Расходы на оплату труда административно-управленческого персонала</v>
      </c>
      <c r="K34" s="932">
        <f t="shared" si="3"/>
        <v>0</v>
      </c>
      <c r="L34" s="773" t="str">
        <f t="shared" si="4"/>
        <v>2.7.1</v>
      </c>
      <c r="M34" s="773" t="str">
        <f t="shared" si="5"/>
        <v>Расходы на оплату труда административно-управленческого персонала</v>
      </c>
      <c r="N34" s="773" t="str">
        <f t="shared" si="6"/>
        <v/>
      </c>
      <c r="O34" s="884" t="s">
        <v>2250</v>
      </c>
      <c r="P34" s="884" t="s">
        <v>2232</v>
      </c>
      <c r="Q34" s="884" t="s">
        <v>2250</v>
      </c>
      <c r="R34" s="884" t="s">
        <v>2232</v>
      </c>
      <c r="S34" s="884"/>
      <c r="T34" s="893" t="s">
        <v>2251</v>
      </c>
      <c r="U34" s="775" t="s">
        <v>2251</v>
      </c>
      <c r="V34" s="775" t="s">
        <v>2251</v>
      </c>
      <c r="W34" s="775" t="s">
        <v>2252</v>
      </c>
      <c r="X34" s="772"/>
      <c r="Y34" s="927"/>
      <c r="Z34" s="775"/>
      <c r="AA34" s="778"/>
      <c r="AB34" s="775"/>
      <c r="AC34" s="775"/>
      <c r="AD34" s="775"/>
    </row>
    <row r="35" spans="1:30" ht="45" customHeight="1">
      <c r="A35" s="774"/>
      <c r="B35" s="827">
        <v>18</v>
      </c>
      <c r="C35" s="772" t="s">
        <v>2253</v>
      </c>
      <c r="D35" s="894"/>
      <c r="E35" s="772"/>
      <c r="F35" s="772"/>
      <c r="G35" s="819"/>
      <c r="H35" s="885"/>
      <c r="I35" s="932" t="str">
        <f t="shared" si="1"/>
        <v>2.7.2</v>
      </c>
      <c r="J35" s="932"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2">
        <f t="shared" si="3"/>
        <v>0</v>
      </c>
      <c r="L35" s="773" t="str">
        <f t="shared" si="4"/>
        <v>2.7.2</v>
      </c>
      <c r="M35" s="773"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3" t="str">
        <f t="shared" si="6"/>
        <v/>
      </c>
      <c r="O35" s="884" t="s">
        <v>2254</v>
      </c>
      <c r="P35" s="884" t="s">
        <v>2234</v>
      </c>
      <c r="Q35" s="884" t="s">
        <v>2254</v>
      </c>
      <c r="R35" s="884" t="s">
        <v>2234</v>
      </c>
      <c r="S35" s="884"/>
      <c r="T35" s="891"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5" t="s">
        <v>2255</v>
      </c>
      <c r="V35" s="775" t="s">
        <v>2255</v>
      </c>
      <c r="W35" s="775" t="s">
        <v>2255</v>
      </c>
      <c r="X35" s="772"/>
      <c r="Y35" s="927"/>
      <c r="Z35" s="775"/>
      <c r="AA35" s="778"/>
      <c r="AB35" s="775"/>
      <c r="AC35" s="775"/>
      <c r="AD35" s="775"/>
    </row>
    <row r="36" spans="1:30" ht="18" customHeight="1">
      <c r="A36" s="774"/>
      <c r="B36" s="827">
        <v>19</v>
      </c>
      <c r="C36" s="772">
        <v>11</v>
      </c>
      <c r="D36" s="894"/>
      <c r="E36" s="772"/>
      <c r="F36" s="772"/>
      <c r="G36" s="819"/>
      <c r="H36" s="885"/>
      <c r="I36" s="932" t="str">
        <f t="shared" si="1"/>
        <v>2.8</v>
      </c>
      <c r="J36" s="932" t="str">
        <f t="shared" si="2"/>
        <v>Расходы на амортизацию основных средств и нематериальных активов</v>
      </c>
      <c r="K36" s="932">
        <f t="shared" si="3"/>
        <v>0</v>
      </c>
      <c r="L36" s="773" t="str">
        <f t="shared" si="4"/>
        <v>2.8</v>
      </c>
      <c r="M36" s="773" t="str">
        <f t="shared" si="5"/>
        <v>Расходы на амортизацию основных средств и нематериальных активов</v>
      </c>
      <c r="N36" s="773" t="str">
        <f t="shared" si="6"/>
        <v/>
      </c>
      <c r="O36" s="884" t="s">
        <v>887</v>
      </c>
      <c r="P36" s="884" t="s">
        <v>883</v>
      </c>
      <c r="Q36" s="884" t="s">
        <v>887</v>
      </c>
      <c r="R36" s="884" t="s">
        <v>883</v>
      </c>
      <c r="S36" s="884"/>
      <c r="T36" s="891" t="s">
        <v>2256</v>
      </c>
      <c r="U36" s="775" t="s">
        <v>2256</v>
      </c>
      <c r="V36" s="775" t="s">
        <v>2256</v>
      </c>
      <c r="W36" s="775" t="s">
        <v>2256</v>
      </c>
      <c r="X36" s="772"/>
      <c r="Y36" s="927"/>
      <c r="Z36" s="775"/>
      <c r="AA36" s="778"/>
      <c r="AB36" s="775"/>
      <c r="AC36" s="775"/>
      <c r="AD36" s="775"/>
    </row>
    <row r="37" spans="1:30" ht="18" customHeight="1">
      <c r="A37" s="774"/>
      <c r="B37" s="827">
        <v>20</v>
      </c>
      <c r="C37" s="772" t="s">
        <v>2257</v>
      </c>
      <c r="D37" s="894"/>
      <c r="E37" s="772"/>
      <c r="F37" s="772"/>
      <c r="G37" s="819"/>
      <c r="H37" s="885"/>
      <c r="I37" s="932" t="str">
        <f t="shared" si="1"/>
        <v>2.8.1</v>
      </c>
      <c r="J37" s="932" t="str">
        <f t="shared" si="2"/>
        <v>Расходы на амортизацию основных средств</v>
      </c>
      <c r="K37" s="932">
        <f t="shared" si="3"/>
        <v>0</v>
      </c>
      <c r="L37" s="773" t="str">
        <f t="shared" si="4"/>
        <v>2.8.1</v>
      </c>
      <c r="M37" s="773" t="str">
        <f t="shared" si="5"/>
        <v>Расходы на амортизацию основных средств</v>
      </c>
      <c r="N37" s="773" t="str">
        <f t="shared" si="6"/>
        <v/>
      </c>
      <c r="O37" s="884" t="s">
        <v>2258</v>
      </c>
      <c r="P37" s="884" t="s">
        <v>2241</v>
      </c>
      <c r="Q37" s="884" t="s">
        <v>2258</v>
      </c>
      <c r="R37" s="884" t="s">
        <v>2241</v>
      </c>
      <c r="S37" s="884"/>
      <c r="T37" s="891" t="s">
        <v>2259</v>
      </c>
      <c r="U37" s="775" t="s">
        <v>2259</v>
      </c>
      <c r="V37" s="775" t="s">
        <v>2259</v>
      </c>
      <c r="W37" s="775" t="s">
        <v>2259</v>
      </c>
      <c r="X37" s="772"/>
      <c r="Y37" s="927"/>
      <c r="Z37" s="775"/>
      <c r="AA37" s="778"/>
      <c r="AB37" s="775"/>
      <c r="AC37" s="775"/>
      <c r="AD37" s="775"/>
    </row>
    <row r="38" spans="1:30" ht="18" customHeight="1">
      <c r="A38" s="774"/>
      <c r="B38" s="827">
        <v>21</v>
      </c>
      <c r="C38" s="772" t="s">
        <v>2260</v>
      </c>
      <c r="D38" s="894"/>
      <c r="E38" s="772"/>
      <c r="F38" s="772"/>
      <c r="G38" s="819"/>
      <c r="H38" s="885"/>
      <c r="I38" s="932" t="str">
        <f t="shared" si="1"/>
        <v>2.8.2</v>
      </c>
      <c r="J38" s="932" t="str">
        <f t="shared" si="2"/>
        <v>Расходы на амортизацию нематериальных активов</v>
      </c>
      <c r="K38" s="932">
        <f t="shared" si="3"/>
        <v>0</v>
      </c>
      <c r="L38" s="773" t="str">
        <f t="shared" si="4"/>
        <v>2.8.2</v>
      </c>
      <c r="M38" s="773" t="str">
        <f t="shared" si="5"/>
        <v>Расходы на амортизацию нематериальных активов</v>
      </c>
      <c r="N38" s="773" t="str">
        <f t="shared" si="6"/>
        <v/>
      </c>
      <c r="O38" s="884" t="s">
        <v>2261</v>
      </c>
      <c r="P38" s="884" t="s">
        <v>2244</v>
      </c>
      <c r="Q38" s="884" t="s">
        <v>2261</v>
      </c>
      <c r="R38" s="884" t="s">
        <v>2244</v>
      </c>
      <c r="S38" s="884"/>
      <c r="T38" s="891" t="s">
        <v>2262</v>
      </c>
      <c r="U38" s="775" t="s">
        <v>2262</v>
      </c>
      <c r="V38" s="775" t="s">
        <v>2262</v>
      </c>
      <c r="W38" s="775" t="s">
        <v>2262</v>
      </c>
      <c r="X38" s="772"/>
      <c r="Y38" s="927"/>
      <c r="Z38" s="775"/>
      <c r="AA38" s="778"/>
      <c r="AB38" s="775"/>
      <c r="AC38" s="775"/>
      <c r="AD38" s="775"/>
    </row>
    <row r="39" spans="1:30" ht="36" customHeight="1">
      <c r="A39" s="774"/>
      <c r="B39" s="827">
        <v>22</v>
      </c>
      <c r="C39" s="772">
        <v>12</v>
      </c>
      <c r="D39" s="894"/>
      <c r="E39" s="772"/>
      <c r="F39" s="772"/>
      <c r="G39" s="819"/>
      <c r="H39" s="885"/>
      <c r="I39" s="932" t="str">
        <f t="shared" si="1"/>
        <v>2.9</v>
      </c>
      <c r="J39" s="932" t="str">
        <f t="shared" si="2"/>
        <v>Расходы на аренду имущества, используемого для осуществления регулируемого вида деятельности</v>
      </c>
      <c r="K39" s="932">
        <f t="shared" si="3"/>
        <v>0</v>
      </c>
      <c r="L39" s="773" t="str">
        <f t="shared" si="4"/>
        <v>2.9</v>
      </c>
      <c r="M39" s="773" t="str">
        <f t="shared" si="5"/>
        <v>Расходы на аренду имущества, используемого для осуществления регулируемого вида деятельности</v>
      </c>
      <c r="N39" s="773" t="str">
        <f t="shared" si="6"/>
        <v/>
      </c>
      <c r="O39" s="884" t="s">
        <v>891</v>
      </c>
      <c r="P39" s="884" t="s">
        <v>885</v>
      </c>
      <c r="Q39" s="884" t="s">
        <v>891</v>
      </c>
      <c r="R39" s="884" t="s">
        <v>885</v>
      </c>
      <c r="S39" s="884"/>
      <c r="T39" s="891" t="s">
        <v>2263</v>
      </c>
      <c r="U39" s="775" t="s">
        <v>2264</v>
      </c>
      <c r="V39" s="775" t="s">
        <v>2265</v>
      </c>
      <c r="W39" s="775" t="s">
        <v>2266</v>
      </c>
      <c r="X39" s="772"/>
      <c r="Y39" s="927"/>
      <c r="Z39" s="775"/>
      <c r="AA39" s="778"/>
      <c r="AB39" s="775"/>
      <c r="AC39" s="775"/>
      <c r="AD39" s="775"/>
    </row>
    <row r="40" spans="1:30" ht="18" customHeight="1">
      <c r="A40" s="774"/>
      <c r="B40" s="827">
        <v>23</v>
      </c>
      <c r="C40" s="772">
        <v>13</v>
      </c>
      <c r="D40" s="894"/>
      <c r="E40" s="772"/>
      <c r="F40" s="772"/>
      <c r="G40" s="772"/>
      <c r="H40" s="822"/>
      <c r="I40" s="932" t="str">
        <f t="shared" si="1"/>
        <v>2.10</v>
      </c>
      <c r="J40" s="932" t="str">
        <f t="shared" si="2"/>
        <v>Общепроизводственные расходы, в том числе:</v>
      </c>
      <c r="K40" s="932" t="str">
        <f t="shared" si="3"/>
        <v>Указывается общая сумма общепроизводственных расходов.</v>
      </c>
      <c r="L40" s="773" t="str">
        <f t="shared" si="4"/>
        <v>2.10</v>
      </c>
      <c r="M40" s="773" t="str">
        <f t="shared" si="5"/>
        <v>Общепроизводственные расходы, в том числе:</v>
      </c>
      <c r="N40" s="773" t="str">
        <f t="shared" si="6"/>
        <v>Указывается общая сумма общепроизводственных расходов.</v>
      </c>
      <c r="O40" s="884" t="s">
        <v>943</v>
      </c>
      <c r="P40" s="884" t="s">
        <v>887</v>
      </c>
      <c r="Q40" s="884" t="s">
        <v>943</v>
      </c>
      <c r="R40" s="884" t="s">
        <v>887</v>
      </c>
      <c r="S40" s="884"/>
      <c r="T40" s="772" t="s">
        <v>2267</v>
      </c>
      <c r="U40" s="772" t="s">
        <v>2267</v>
      </c>
      <c r="V40" s="772" t="s">
        <v>2267</v>
      </c>
      <c r="W40" s="772" t="s">
        <v>2267</v>
      </c>
      <c r="X40" s="772"/>
      <c r="Y40" s="927"/>
      <c r="Z40" s="775" t="s">
        <v>2268</v>
      </c>
      <c r="AA40" s="778" t="s">
        <v>2268</v>
      </c>
      <c r="AB40" s="778" t="s">
        <v>2268</v>
      </c>
      <c r="AC40" s="778" t="s">
        <v>2268</v>
      </c>
      <c r="AD40" s="775"/>
    </row>
    <row r="41" spans="1:30" ht="27" customHeight="1">
      <c r="A41" s="774"/>
      <c r="B41" s="827">
        <v>24</v>
      </c>
      <c r="C41" s="772" t="s">
        <v>2269</v>
      </c>
      <c r="D41" s="894"/>
      <c r="E41" s="772"/>
      <c r="F41" s="772"/>
      <c r="G41" s="772"/>
      <c r="H41" s="819"/>
      <c r="I41" s="932" t="str">
        <f t="shared" si="1"/>
        <v>2.10.1</v>
      </c>
      <c r="J41" s="932" t="str">
        <f t="shared" si="2"/>
        <v>Расходы на текущий ремонт</v>
      </c>
      <c r="K41" s="932" t="str">
        <f t="shared" si="3"/>
        <v>Указываются расходы на текущий ремонт, отнесенные к общепроизводственным расходам.</v>
      </c>
      <c r="L41" s="773" t="str">
        <f t="shared" si="4"/>
        <v>2.10.1</v>
      </c>
      <c r="M41" s="773" t="str">
        <f t="shared" si="5"/>
        <v>Расходы на текущий ремонт</v>
      </c>
      <c r="N41" s="773" t="str">
        <f t="shared" si="6"/>
        <v>Указываются расходы на текущий ремонт, отнесенные к общепроизводственным расходам.</v>
      </c>
      <c r="O41" s="884" t="s">
        <v>2270</v>
      </c>
      <c r="P41" s="884" t="s">
        <v>2258</v>
      </c>
      <c r="Q41" s="884" t="s">
        <v>2270</v>
      </c>
      <c r="R41" s="884" t="s">
        <v>2258</v>
      </c>
      <c r="S41" s="884"/>
      <c r="T41" s="772" t="s">
        <v>2271</v>
      </c>
      <c r="U41" s="772" t="s">
        <v>2271</v>
      </c>
      <c r="V41" s="772" t="s">
        <v>2271</v>
      </c>
      <c r="W41" s="772" t="s">
        <v>2271</v>
      </c>
      <c r="X41" s="772"/>
      <c r="Y41" s="927"/>
      <c r="Z41" s="775" t="s">
        <v>2272</v>
      </c>
      <c r="AA41" s="775" t="s">
        <v>2272</v>
      </c>
      <c r="AB41" s="775" t="s">
        <v>2272</v>
      </c>
      <c r="AC41" s="775" t="s">
        <v>2272</v>
      </c>
      <c r="AD41" s="775"/>
    </row>
    <row r="42" spans="1:30" ht="27" customHeight="1">
      <c r="A42" s="774"/>
      <c r="B42" s="827">
        <v>25</v>
      </c>
      <c r="C42" s="772" t="s">
        <v>2273</v>
      </c>
      <c r="D42" s="894"/>
      <c r="E42" s="772"/>
      <c r="F42" s="772"/>
      <c r="G42" s="772"/>
      <c r="H42" s="819"/>
      <c r="I42" s="932" t="str">
        <f t="shared" si="1"/>
        <v>2.10.2</v>
      </c>
      <c r="J42" s="932" t="str">
        <f t="shared" si="2"/>
        <v>Расходы на капитальный ремонт</v>
      </c>
      <c r="K42" s="932" t="str">
        <f t="shared" si="3"/>
        <v>Указываются расходы на капитальный ремонт, отнесенные к общепроизводственным расходам.</v>
      </c>
      <c r="L42" s="773" t="str">
        <f t="shared" si="4"/>
        <v>2.10.2</v>
      </c>
      <c r="M42" s="773" t="str">
        <f t="shared" si="5"/>
        <v>Расходы на капитальный ремонт</v>
      </c>
      <c r="N42" s="773" t="str">
        <f t="shared" si="6"/>
        <v>Указываются расходы на капитальный ремонт, отнесенные к общепроизводственным расходам.</v>
      </c>
      <c r="O42" s="884" t="s">
        <v>2274</v>
      </c>
      <c r="P42" s="884" t="s">
        <v>2261</v>
      </c>
      <c r="Q42" s="884" t="s">
        <v>2274</v>
      </c>
      <c r="R42" s="884" t="s">
        <v>2261</v>
      </c>
      <c r="S42" s="884"/>
      <c r="T42" s="772" t="s">
        <v>2275</v>
      </c>
      <c r="U42" s="772" t="s">
        <v>2275</v>
      </c>
      <c r="V42" s="772" t="s">
        <v>2275</v>
      </c>
      <c r="W42" s="772" t="s">
        <v>2275</v>
      </c>
      <c r="X42" s="772"/>
      <c r="Y42" s="927"/>
      <c r="Z42" s="775" t="s">
        <v>2276</v>
      </c>
      <c r="AA42" s="775" t="s">
        <v>2276</v>
      </c>
      <c r="AB42" s="775" t="s">
        <v>2276</v>
      </c>
      <c r="AC42" s="775" t="s">
        <v>2276</v>
      </c>
      <c r="AD42" s="775"/>
    </row>
    <row r="43" spans="1:30" ht="18" customHeight="1">
      <c r="A43" s="774"/>
      <c r="B43" s="827">
        <v>26</v>
      </c>
      <c r="C43" s="772">
        <v>14</v>
      </c>
      <c r="D43" s="894"/>
      <c r="E43" s="772"/>
      <c r="F43" s="772"/>
      <c r="G43" s="772"/>
      <c r="H43" s="819"/>
      <c r="I43" s="932" t="str">
        <f t="shared" si="1"/>
        <v>2.11</v>
      </c>
      <c r="J43" s="932" t="str">
        <f t="shared" si="2"/>
        <v>Общехозяйственные расходы, в том числе:</v>
      </c>
      <c r="K43" s="932" t="str">
        <f t="shared" si="3"/>
        <v>Указывается общая сумма общехозяйственных расходов.</v>
      </c>
      <c r="L43" s="773" t="str">
        <f t="shared" si="4"/>
        <v>2.11</v>
      </c>
      <c r="M43" s="773" t="str">
        <f t="shared" si="5"/>
        <v>Общехозяйственные расходы, в том числе:</v>
      </c>
      <c r="N43" s="773" t="str">
        <f t="shared" si="6"/>
        <v>Указывается общая сумма общехозяйственных расходов.</v>
      </c>
      <c r="O43" s="884" t="s">
        <v>2277</v>
      </c>
      <c r="P43" s="884" t="s">
        <v>891</v>
      </c>
      <c r="Q43" s="884" t="s">
        <v>2277</v>
      </c>
      <c r="R43" s="884" t="s">
        <v>891</v>
      </c>
      <c r="S43" s="884"/>
      <c r="T43" s="772" t="s">
        <v>2278</v>
      </c>
      <c r="U43" s="772" t="s">
        <v>2278</v>
      </c>
      <c r="V43" s="772" t="s">
        <v>2278</v>
      </c>
      <c r="W43" s="772" t="s">
        <v>2278</v>
      </c>
      <c r="X43" s="772"/>
      <c r="Y43" s="927"/>
      <c r="Z43" s="775" t="s">
        <v>2279</v>
      </c>
      <c r="AA43" s="775" t="s">
        <v>2279</v>
      </c>
      <c r="AB43" s="775" t="s">
        <v>2279</v>
      </c>
      <c r="AC43" s="775" t="s">
        <v>2279</v>
      </c>
      <c r="AD43" s="775"/>
    </row>
    <row r="44" spans="1:30" ht="27" customHeight="1">
      <c r="A44" s="774"/>
      <c r="B44" s="827">
        <v>27</v>
      </c>
      <c r="C44" s="772" t="s">
        <v>2280</v>
      </c>
      <c r="D44" s="894"/>
      <c r="E44" s="772"/>
      <c r="F44" s="772"/>
      <c r="G44" s="772"/>
      <c r="H44" s="819"/>
      <c r="I44" s="932" t="str">
        <f t="shared" si="1"/>
        <v>2.11.1</v>
      </c>
      <c r="J44" s="932" t="str">
        <f t="shared" si="2"/>
        <v>Расходы на текущий ремонт</v>
      </c>
      <c r="K44" s="932" t="str">
        <f t="shared" si="3"/>
        <v>Указываются расходы на текущий ремонт, отнесенные к общехозяйственным расходам.</v>
      </c>
      <c r="L44" s="773" t="str">
        <f t="shared" si="4"/>
        <v>2.11.1</v>
      </c>
      <c r="M44" s="773" t="str">
        <f t="shared" si="5"/>
        <v>Расходы на текущий ремонт</v>
      </c>
      <c r="N44" s="773" t="str">
        <f t="shared" si="6"/>
        <v>Указываются расходы на текущий ремонт, отнесенные к общехозяйственным расходам.</v>
      </c>
      <c r="O44" s="884" t="s">
        <v>2281</v>
      </c>
      <c r="P44" s="884" t="s">
        <v>894</v>
      </c>
      <c r="Q44" s="884" t="s">
        <v>2281</v>
      </c>
      <c r="R44" s="884" t="s">
        <v>894</v>
      </c>
      <c r="S44" s="884"/>
      <c r="T44" s="772" t="s">
        <v>2271</v>
      </c>
      <c r="U44" s="772" t="s">
        <v>2271</v>
      </c>
      <c r="V44" s="772" t="s">
        <v>2271</v>
      </c>
      <c r="W44" s="772" t="s">
        <v>2271</v>
      </c>
      <c r="X44" s="772"/>
      <c r="Y44" s="927"/>
      <c r="Z44" s="775" t="s">
        <v>2282</v>
      </c>
      <c r="AA44" s="775" t="s">
        <v>2282</v>
      </c>
      <c r="AB44" s="775" t="s">
        <v>2282</v>
      </c>
      <c r="AC44" s="775" t="s">
        <v>2282</v>
      </c>
      <c r="AD44" s="775"/>
    </row>
    <row r="45" spans="1:30" ht="27" customHeight="1">
      <c r="A45" s="774"/>
      <c r="B45" s="827">
        <v>28</v>
      </c>
      <c r="C45" s="772" t="s">
        <v>2283</v>
      </c>
      <c r="D45" s="894"/>
      <c r="E45" s="772"/>
      <c r="F45" s="772"/>
      <c r="G45" s="772"/>
      <c r="H45" s="819"/>
      <c r="I45" s="932" t="str">
        <f t="shared" si="1"/>
        <v>2.11.2</v>
      </c>
      <c r="J45" s="932" t="str">
        <f t="shared" si="2"/>
        <v>Расходы на капитальный ремонт</v>
      </c>
      <c r="K45" s="932" t="str">
        <f t="shared" si="3"/>
        <v>Указываются расходы на капитальный ремонт, отнесенные к общехозяйственным расходам.</v>
      </c>
      <c r="L45" s="773" t="str">
        <f t="shared" si="4"/>
        <v>2.11.2</v>
      </c>
      <c r="M45" s="773" t="str">
        <f t="shared" si="5"/>
        <v>Расходы на капитальный ремонт</v>
      </c>
      <c r="N45" s="773" t="str">
        <f t="shared" si="6"/>
        <v>Указываются расходы на капитальный ремонт, отнесенные к общехозяйственным расходам.</v>
      </c>
      <c r="O45" s="884" t="s">
        <v>2284</v>
      </c>
      <c r="P45" s="884" t="s">
        <v>897</v>
      </c>
      <c r="Q45" s="884" t="s">
        <v>2284</v>
      </c>
      <c r="R45" s="884" t="s">
        <v>897</v>
      </c>
      <c r="S45" s="884"/>
      <c r="T45" s="772" t="s">
        <v>2275</v>
      </c>
      <c r="U45" s="772" t="s">
        <v>2275</v>
      </c>
      <c r="V45" s="772" t="s">
        <v>2275</v>
      </c>
      <c r="W45" s="772" t="s">
        <v>2275</v>
      </c>
      <c r="X45" s="772"/>
      <c r="Y45" s="927"/>
      <c r="Z45" s="775" t="s">
        <v>2285</v>
      </c>
      <c r="AA45" s="775" t="s">
        <v>2285</v>
      </c>
      <c r="AB45" s="775" t="s">
        <v>2285</v>
      </c>
      <c r="AC45" s="775" t="s">
        <v>2285</v>
      </c>
      <c r="AD45" s="775"/>
    </row>
    <row r="46" spans="1:30" ht="54" customHeight="1">
      <c r="A46" s="774"/>
      <c r="B46" s="827">
        <v>29</v>
      </c>
      <c r="C46" s="772">
        <v>15</v>
      </c>
      <c r="D46" s="894"/>
      <c r="E46" s="772"/>
      <c r="F46" s="772"/>
      <c r="G46" s="772"/>
      <c r="H46" s="819"/>
      <c r="I46" s="932" t="str">
        <f t="shared" si="1"/>
        <v>2.12</v>
      </c>
      <c r="J46" s="932" t="str">
        <f t="shared" si="2"/>
        <v>Расходы на капитальный и текущий ремонт основных средств</v>
      </c>
      <c r="K46" s="932"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3" t="str">
        <f t="shared" si="4"/>
        <v>2.12</v>
      </c>
      <c r="M46" s="773" t="str">
        <f t="shared" si="5"/>
        <v>Расходы на капитальный и текущий ремонт основных средств</v>
      </c>
      <c r="N46" s="773"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4" t="s">
        <v>2286</v>
      </c>
      <c r="P46" s="884" t="s">
        <v>943</v>
      </c>
      <c r="Q46" s="884" t="s">
        <v>2286</v>
      </c>
      <c r="R46" s="884" t="s">
        <v>943</v>
      </c>
      <c r="S46" s="884"/>
      <c r="T46" s="773"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2" t="s">
        <v>2287</v>
      </c>
      <c r="V46" s="772" t="s">
        <v>2287</v>
      </c>
      <c r="W46" s="772" t="s">
        <v>2287</v>
      </c>
      <c r="X46" s="772"/>
      <c r="Y46" s="927"/>
      <c r="Z46" s="775" t="s">
        <v>2288</v>
      </c>
      <c r="AA46" s="775" t="s">
        <v>2289</v>
      </c>
      <c r="AB46" s="775" t="s">
        <v>2289</v>
      </c>
      <c r="AC46" s="775" t="s">
        <v>2289</v>
      </c>
      <c r="AD46" s="775"/>
    </row>
    <row r="47" spans="1:30" ht="54" customHeight="1">
      <c r="A47" s="774"/>
      <c r="B47" s="827">
        <v>30</v>
      </c>
      <c r="C47" s="772" t="s">
        <v>2290</v>
      </c>
      <c r="D47" s="894"/>
      <c r="E47" s="772"/>
      <c r="F47" s="772"/>
      <c r="G47" s="772"/>
      <c r="H47" s="819"/>
      <c r="I47" s="932" t="str">
        <f t="shared" si="1"/>
        <v>2.12.1</v>
      </c>
      <c r="J47" s="932"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2">
        <f t="shared" si="3"/>
        <v>0</v>
      </c>
      <c r="L47" s="773" t="str">
        <f t="shared" si="4"/>
        <v>2.12.1</v>
      </c>
      <c r="M47" s="773"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3" t="str">
        <f t="shared" si="6"/>
        <v/>
      </c>
      <c r="O47" s="884" t="s">
        <v>2291</v>
      </c>
      <c r="P47" s="884" t="s">
        <v>2270</v>
      </c>
      <c r="Q47" s="884" t="s">
        <v>2291</v>
      </c>
      <c r="R47" s="884" t="s">
        <v>2270</v>
      </c>
      <c r="S47" s="884"/>
      <c r="T47" s="772" t="s">
        <v>2292</v>
      </c>
      <c r="U47" s="772" t="s">
        <v>2292</v>
      </c>
      <c r="V47" s="772" t="s">
        <v>2292</v>
      </c>
      <c r="W47" s="772" t="s">
        <v>2292</v>
      </c>
      <c r="X47" s="772"/>
      <c r="Y47" s="927"/>
      <c r="Z47" s="775"/>
      <c r="AA47" s="778"/>
      <c r="AB47" s="778"/>
      <c r="AC47" s="778"/>
      <c r="AD47" s="775"/>
    </row>
    <row r="48" spans="1:30" ht="54" customHeight="1">
      <c r="A48" s="774"/>
      <c r="B48" s="827">
        <v>31</v>
      </c>
      <c r="C48" s="772">
        <v>16</v>
      </c>
      <c r="D48" s="894"/>
      <c r="E48" s="772"/>
      <c r="F48" s="772"/>
      <c r="G48" s="772"/>
      <c r="H48" s="819"/>
      <c r="I48" s="932">
        <f t="shared" si="1"/>
        <v>0</v>
      </c>
      <c r="J48" s="932">
        <f t="shared" si="2"/>
        <v>0</v>
      </c>
      <c r="K48" s="932">
        <f t="shared" si="3"/>
        <v>0</v>
      </c>
      <c r="L48" s="773" t="str">
        <f t="shared" si="4"/>
        <v/>
      </c>
      <c r="M48" s="773" t="str">
        <f t="shared" si="5"/>
        <v/>
      </c>
      <c r="N48" s="773" t="str">
        <f t="shared" si="6"/>
        <v/>
      </c>
      <c r="O48" s="884"/>
      <c r="P48" s="884" t="s">
        <v>2277</v>
      </c>
      <c r="Q48" s="884" t="s">
        <v>2293</v>
      </c>
      <c r="R48" s="884" t="s">
        <v>2277</v>
      </c>
      <c r="S48" s="884"/>
      <c r="T48" s="772"/>
      <c r="U48" s="772" t="s">
        <v>2294</v>
      </c>
      <c r="V48" s="772" t="s">
        <v>2295</v>
      </c>
      <c r="W48" s="772" t="s">
        <v>2295</v>
      </c>
      <c r="X48" s="772"/>
      <c r="Y48" s="927"/>
      <c r="Z48" s="775"/>
      <c r="AA48" s="778" t="s">
        <v>2289</v>
      </c>
      <c r="AB48" s="778" t="s">
        <v>2289</v>
      </c>
      <c r="AC48" s="778" t="s">
        <v>2289</v>
      </c>
      <c r="AD48" s="775"/>
    </row>
    <row r="49" spans="1:30" ht="54" customHeight="1">
      <c r="A49" s="774"/>
      <c r="B49" s="827">
        <v>32</v>
      </c>
      <c r="C49" s="772" t="s">
        <v>2296</v>
      </c>
      <c r="D49" s="894"/>
      <c r="E49" s="772"/>
      <c r="F49" s="772"/>
      <c r="G49" s="772"/>
      <c r="H49" s="819"/>
      <c r="I49" s="932">
        <f t="shared" si="1"/>
        <v>0</v>
      </c>
      <c r="J49" s="932">
        <f t="shared" si="2"/>
        <v>0</v>
      </c>
      <c r="K49" s="932">
        <f t="shared" si="3"/>
        <v>0</v>
      </c>
      <c r="L49" s="773" t="str">
        <f t="shared" si="4"/>
        <v/>
      </c>
      <c r="M49" s="773" t="str">
        <f t="shared" si="5"/>
        <v/>
      </c>
      <c r="N49" s="773" t="str">
        <f t="shared" si="6"/>
        <v/>
      </c>
      <c r="O49" s="884"/>
      <c r="P49" s="884" t="s">
        <v>2281</v>
      </c>
      <c r="Q49" s="884" t="s">
        <v>2297</v>
      </c>
      <c r="R49" s="884" t="s">
        <v>2281</v>
      </c>
      <c r="S49" s="884"/>
      <c r="T49" s="772"/>
      <c r="U49" s="772" t="s">
        <v>2292</v>
      </c>
      <c r="V49" s="772" t="s">
        <v>2292</v>
      </c>
      <c r="W49" s="772" t="s">
        <v>2292</v>
      </c>
      <c r="X49" s="772"/>
      <c r="Y49" s="927"/>
      <c r="Z49" s="775"/>
      <c r="AA49" s="778"/>
      <c r="AB49" s="778"/>
      <c r="AC49" s="778"/>
      <c r="AD49" s="775"/>
    </row>
    <row r="50" spans="1:30" ht="126" customHeight="1">
      <c r="A50" s="774"/>
      <c r="B50" s="827">
        <v>33</v>
      </c>
      <c r="C50" s="772">
        <v>17</v>
      </c>
      <c r="D50" s="894"/>
      <c r="E50" s="772"/>
      <c r="F50" s="772"/>
      <c r="G50" s="772"/>
      <c r="H50" s="819"/>
      <c r="I50" s="932" t="str">
        <f t="shared" ref="I50:I81" si="7">INDEX(TEMPLATE_NUMBER_POINT_FHD,B50,MATCH(TEMPLATE_SPHERE,TEMPLATE_SPHERE_LIST_FOR_NOTE,0))</f>
        <v>2.13</v>
      </c>
      <c r="J50" s="932"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2"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3" t="str">
        <f t="shared" ref="L50:L81" si="10">IF(I50=0,"",I50)</f>
        <v>2.13</v>
      </c>
      <c r="M50" s="773"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3"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4" t="s">
        <v>2293</v>
      </c>
      <c r="P50" s="884" t="s">
        <v>2286</v>
      </c>
      <c r="Q50" s="884" t="s">
        <v>2298</v>
      </c>
      <c r="R50" s="884" t="s">
        <v>2286</v>
      </c>
      <c r="S50" s="884"/>
      <c r="T50" s="772" t="s">
        <v>2299</v>
      </c>
      <c r="U50" s="772" t="s">
        <v>2300</v>
      </c>
      <c r="V50" s="772" t="s">
        <v>2301</v>
      </c>
      <c r="W50" s="772" t="s">
        <v>2302</v>
      </c>
      <c r="X50" s="772"/>
      <c r="Y50" s="927"/>
      <c r="Z50" s="775" t="s">
        <v>2303</v>
      </c>
      <c r="AA50" s="778" t="s">
        <v>2304</v>
      </c>
      <c r="AB50" s="778" t="s">
        <v>2304</v>
      </c>
      <c r="AC50" s="778" t="s">
        <v>2304</v>
      </c>
      <c r="AD50" s="775"/>
    </row>
    <row r="51" spans="1:30" ht="27" customHeight="1">
      <c r="A51" s="774"/>
      <c r="B51" s="827">
        <v>34</v>
      </c>
      <c r="C51" s="772" t="s">
        <v>2305</v>
      </c>
      <c r="D51" s="894"/>
      <c r="E51" s="772"/>
      <c r="F51" s="772"/>
      <c r="G51" s="772"/>
      <c r="H51" s="819"/>
      <c r="I51" s="932" t="str">
        <f t="shared" si="7"/>
        <v>3</v>
      </c>
      <c r="J51" s="932" t="str">
        <f t="shared" si="8"/>
        <v>Валовая прибыль (убытки) от реализации товаров и оказания услуг по регулируемому виду деятельности</v>
      </c>
      <c r="K51" s="932">
        <f t="shared" si="9"/>
        <v>0</v>
      </c>
      <c r="L51" s="773" t="str">
        <f t="shared" si="10"/>
        <v>3</v>
      </c>
      <c r="M51" s="773" t="str">
        <f t="shared" si="11"/>
        <v>Валовая прибыль (убытки) от реализации товаров и оказания услуг по регулируемому виду деятельности</v>
      </c>
      <c r="N51" s="773" t="str">
        <f t="shared" si="12"/>
        <v/>
      </c>
      <c r="O51" s="884" t="s">
        <v>91</v>
      </c>
      <c r="P51" s="884"/>
      <c r="Q51" s="884"/>
      <c r="R51" s="884"/>
      <c r="S51" s="884"/>
      <c r="T51" s="772" t="s">
        <v>2306</v>
      </c>
      <c r="U51" s="772"/>
      <c r="V51" s="772"/>
      <c r="W51" s="772"/>
      <c r="X51" s="772"/>
      <c r="Y51" s="927"/>
      <c r="Z51" s="775"/>
      <c r="AA51" s="778"/>
      <c r="AB51" s="778"/>
      <c r="AC51" s="778"/>
      <c r="AD51" s="775"/>
    </row>
    <row r="52" spans="1:30" ht="36" customHeight="1">
      <c r="A52" s="774"/>
      <c r="B52" s="827">
        <v>35</v>
      </c>
      <c r="C52" s="772" t="s">
        <v>2202</v>
      </c>
      <c r="D52" s="894" t="s">
        <v>2202</v>
      </c>
      <c r="E52" s="772" t="s">
        <v>2202</v>
      </c>
      <c r="F52" s="772" t="s">
        <v>2202</v>
      </c>
      <c r="G52" s="772"/>
      <c r="H52" s="819"/>
      <c r="I52" s="932" t="str">
        <f t="shared" si="7"/>
        <v>4</v>
      </c>
      <c r="J52" s="932" t="str">
        <f t="shared" si="8"/>
        <v>Чистая прибыль, полученная от регулируемого вида деятельности, в том числе:</v>
      </c>
      <c r="K52" s="932" t="str">
        <f t="shared" si="9"/>
        <v>Указывается общая сумма чистой прибыли, полученной от регулируемого вида деятельности.</v>
      </c>
      <c r="L52" s="773" t="str">
        <f t="shared" si="10"/>
        <v>4</v>
      </c>
      <c r="M52" s="773" t="str">
        <f t="shared" si="11"/>
        <v>Чистая прибыль, полученная от регулируемого вида деятельности, в том числе:</v>
      </c>
      <c r="N52" s="773" t="str">
        <f t="shared" si="12"/>
        <v>Указывается общая сумма чистой прибыли, полученной от регулируемого вида деятельности.</v>
      </c>
      <c r="O52" s="884" t="s">
        <v>92</v>
      </c>
      <c r="P52" s="884" t="s">
        <v>91</v>
      </c>
      <c r="Q52" s="884" t="s">
        <v>91</v>
      </c>
      <c r="R52" s="884" t="s">
        <v>91</v>
      </c>
      <c r="S52" s="884"/>
      <c r="T52" s="772" t="s">
        <v>2307</v>
      </c>
      <c r="U52" s="772" t="s">
        <v>2308</v>
      </c>
      <c r="V52" s="772" t="s">
        <v>2309</v>
      </c>
      <c r="W52" s="772" t="s">
        <v>2310</v>
      </c>
      <c r="X52" s="772"/>
      <c r="Y52" s="927"/>
      <c r="Z52" s="775" t="s">
        <v>901</v>
      </c>
      <c r="AA52" s="778" t="s">
        <v>901</v>
      </c>
      <c r="AB52" s="778" t="s">
        <v>901</v>
      </c>
      <c r="AC52" s="778" t="s">
        <v>901</v>
      </c>
      <c r="AD52" s="775"/>
    </row>
    <row r="53" spans="1:30" ht="36" customHeight="1">
      <c r="A53" s="774"/>
      <c r="B53" s="827">
        <v>36</v>
      </c>
      <c r="C53" s="772">
        <v>1</v>
      </c>
      <c r="D53" s="894"/>
      <c r="E53" s="772"/>
      <c r="F53" s="772"/>
      <c r="G53" s="772"/>
      <c r="H53" s="819"/>
      <c r="I53" s="932" t="str">
        <f t="shared" si="7"/>
        <v>4.1</v>
      </c>
      <c r="J53" s="932"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2">
        <f t="shared" si="9"/>
        <v>0</v>
      </c>
      <c r="L53" s="773" t="str">
        <f t="shared" si="10"/>
        <v>4.1</v>
      </c>
      <c r="M53" s="773"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3" t="str">
        <f t="shared" si="12"/>
        <v/>
      </c>
      <c r="O53" s="884" t="s">
        <v>905</v>
      </c>
      <c r="P53" s="884" t="s">
        <v>343</v>
      </c>
      <c r="Q53" s="884" t="s">
        <v>343</v>
      </c>
      <c r="R53" s="884" t="s">
        <v>343</v>
      </c>
      <c r="S53" s="884"/>
      <c r="T53" s="772" t="s">
        <v>2311</v>
      </c>
      <c r="U53" s="772" t="s">
        <v>2311</v>
      </c>
      <c r="V53" s="772" t="s">
        <v>2311</v>
      </c>
      <c r="W53" s="772" t="s">
        <v>2311</v>
      </c>
      <c r="X53" s="772"/>
      <c r="Y53" s="927"/>
      <c r="Z53" s="775"/>
      <c r="AA53" s="778"/>
      <c r="AB53" s="775"/>
      <c r="AC53" s="775"/>
      <c r="AD53" s="775"/>
    </row>
    <row r="54" spans="1:30" ht="18" customHeight="1">
      <c r="A54" s="774"/>
      <c r="B54" s="827">
        <v>37</v>
      </c>
      <c r="C54" s="772" t="s">
        <v>2208</v>
      </c>
      <c r="D54" s="894" t="s">
        <v>2208</v>
      </c>
      <c r="E54" s="772" t="s">
        <v>2208</v>
      </c>
      <c r="F54" s="772" t="s">
        <v>2208</v>
      </c>
      <c r="G54" s="772"/>
      <c r="H54" s="819"/>
      <c r="I54" s="932" t="str">
        <f t="shared" si="7"/>
        <v>5</v>
      </c>
      <c r="J54" s="932" t="str">
        <f t="shared" si="8"/>
        <v>Изменение стоимости основных фондов, в том числе:</v>
      </c>
      <c r="K54" s="932" t="str">
        <f t="shared" si="9"/>
        <v>Указывается общее изменение стоимости основных фондов.</v>
      </c>
      <c r="L54" s="773" t="str">
        <f t="shared" si="10"/>
        <v>5</v>
      </c>
      <c r="M54" s="773" t="str">
        <f t="shared" si="11"/>
        <v>Изменение стоимости основных фондов, в том числе:</v>
      </c>
      <c r="N54" s="773" t="str">
        <f t="shared" si="12"/>
        <v>Указывается общее изменение стоимости основных фондов.</v>
      </c>
      <c r="O54" s="884" t="s">
        <v>123</v>
      </c>
      <c r="P54" s="884" t="s">
        <v>92</v>
      </c>
      <c r="Q54" s="884" t="s">
        <v>92</v>
      </c>
      <c r="R54" s="884" t="s">
        <v>92</v>
      </c>
      <c r="S54" s="884"/>
      <c r="T54" s="772" t="s">
        <v>903</v>
      </c>
      <c r="U54" s="772" t="s">
        <v>903</v>
      </c>
      <c r="V54" s="772" t="s">
        <v>903</v>
      </c>
      <c r="W54" s="772" t="s">
        <v>903</v>
      </c>
      <c r="X54" s="772"/>
      <c r="Y54" s="927"/>
      <c r="Z54" s="775" t="s">
        <v>904</v>
      </c>
      <c r="AA54" s="775" t="s">
        <v>904</v>
      </c>
      <c r="AB54" s="775" t="s">
        <v>904</v>
      </c>
      <c r="AC54" s="775" t="s">
        <v>904</v>
      </c>
      <c r="AD54" s="775"/>
    </row>
    <row r="55" spans="1:30" ht="36" customHeight="1">
      <c r="A55" s="774"/>
      <c r="B55" s="827">
        <v>38</v>
      </c>
      <c r="C55" s="772">
        <v>1</v>
      </c>
      <c r="D55" s="894"/>
      <c r="E55" s="772"/>
      <c r="F55" s="772"/>
      <c r="G55" s="772"/>
      <c r="H55" s="819"/>
      <c r="I55" s="932" t="str">
        <f t="shared" si="7"/>
        <v>5.1</v>
      </c>
      <c r="J55" s="932" t="str">
        <f t="shared" si="8"/>
        <v>Изменение стоимости основных фондов за счет:</v>
      </c>
      <c r="K55" s="932" t="str">
        <f t="shared" si="9"/>
        <v>Указываются общее изменение стоимости основных фондов за счет их ввода в эксплуатацию и вывода из эксплуатации.</v>
      </c>
      <c r="L55" s="773" t="str">
        <f t="shared" si="10"/>
        <v>5.1</v>
      </c>
      <c r="M55" s="773" t="str">
        <f t="shared" si="11"/>
        <v>Изменение стоимости основных фондов за счет:</v>
      </c>
      <c r="N55" s="773" t="str">
        <f t="shared" si="12"/>
        <v>Указываются общее изменение стоимости основных фондов за счет их ввода в эксплуатацию и вывода из эксплуатации.</v>
      </c>
      <c r="O55" s="884" t="s">
        <v>332</v>
      </c>
      <c r="P55" s="884" t="s">
        <v>905</v>
      </c>
      <c r="Q55" s="884" t="s">
        <v>905</v>
      </c>
      <c r="R55" s="884" t="s">
        <v>905</v>
      </c>
      <c r="S55" s="884"/>
      <c r="T55" s="773"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2" t="s">
        <v>2312</v>
      </c>
      <c r="V55" s="772" t="s">
        <v>2312</v>
      </c>
      <c r="W55" s="772" t="s">
        <v>2312</v>
      </c>
      <c r="X55" s="772"/>
      <c r="Y55" s="927"/>
      <c r="Z55" s="775" t="s">
        <v>2313</v>
      </c>
      <c r="AA55" s="775" t="s">
        <v>2313</v>
      </c>
      <c r="AB55" s="775" t="s">
        <v>2313</v>
      </c>
      <c r="AC55" s="775" t="s">
        <v>2313</v>
      </c>
      <c r="AD55" s="775"/>
    </row>
    <row r="56" spans="1:30" ht="27" customHeight="1">
      <c r="A56" s="774"/>
      <c r="B56" s="827">
        <v>39</v>
      </c>
      <c r="C56" s="772" t="s">
        <v>649</v>
      </c>
      <c r="D56" s="894"/>
      <c r="E56" s="772"/>
      <c r="F56" s="772"/>
      <c r="G56" s="772"/>
      <c r="H56" s="819"/>
      <c r="I56" s="932" t="str">
        <f t="shared" si="7"/>
        <v>5.1.1</v>
      </c>
      <c r="J56" s="932" t="str">
        <f t="shared" si="8"/>
        <v>Изменения стоимости основных фондов за счет их ввода в эксплуатацию</v>
      </c>
      <c r="K56" s="932" t="str">
        <f t="shared" si="9"/>
        <v>Указываются изменение стоимости основных фондов за счет их ввода в эксплуатацию.</v>
      </c>
      <c r="L56" s="773" t="str">
        <f t="shared" si="10"/>
        <v>5.1.1</v>
      </c>
      <c r="M56" s="773" t="str">
        <f t="shared" si="11"/>
        <v>Изменения стоимости основных фондов за счет их ввода в эксплуатацию</v>
      </c>
      <c r="N56" s="773" t="str">
        <f t="shared" si="12"/>
        <v>Указываются изменение стоимости основных фондов за счет их ввода в эксплуатацию.</v>
      </c>
      <c r="O56" s="884" t="s">
        <v>1345</v>
      </c>
      <c r="P56" s="884" t="s">
        <v>908</v>
      </c>
      <c r="Q56" s="884" t="s">
        <v>908</v>
      </c>
      <c r="R56" s="884" t="s">
        <v>908</v>
      </c>
      <c r="S56" s="884"/>
      <c r="T56" s="773"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2" t="s">
        <v>2314</v>
      </c>
      <c r="V56" s="772" t="s">
        <v>2314</v>
      </c>
      <c r="W56" s="772" t="s">
        <v>2314</v>
      </c>
      <c r="X56" s="772"/>
      <c r="Y56" s="927"/>
      <c r="Z56" s="775" t="s">
        <v>910</v>
      </c>
      <c r="AA56" s="775" t="s">
        <v>910</v>
      </c>
      <c r="AB56" s="775" t="s">
        <v>910</v>
      </c>
      <c r="AC56" s="775" t="s">
        <v>910</v>
      </c>
      <c r="AD56" s="775"/>
    </row>
    <row r="57" spans="1:30" ht="27" customHeight="1">
      <c r="A57" s="774"/>
      <c r="B57" s="827">
        <v>40</v>
      </c>
      <c r="C57" s="772" t="s">
        <v>653</v>
      </c>
      <c r="D57" s="894"/>
      <c r="E57" s="772"/>
      <c r="F57" s="772"/>
      <c r="G57" s="772"/>
      <c r="H57" s="819"/>
      <c r="I57" s="932" t="str">
        <f t="shared" si="7"/>
        <v>5.1.2</v>
      </c>
      <c r="J57" s="932" t="str">
        <f t="shared" si="8"/>
        <v>Изменения стоимости основных фондов за счет их вывода в эксплуатацию</v>
      </c>
      <c r="K57" s="932" t="str">
        <f t="shared" si="9"/>
        <v>Указываются изменение стоимости основных фондов за счет их вывода из эксплуатации.</v>
      </c>
      <c r="L57" s="773" t="str">
        <f t="shared" si="10"/>
        <v>5.1.2</v>
      </c>
      <c r="M57" s="773" t="str">
        <f t="shared" si="11"/>
        <v>Изменения стоимости основных фондов за счет их вывода в эксплуатацию</v>
      </c>
      <c r="N57" s="773" t="str">
        <f t="shared" si="12"/>
        <v>Указываются изменение стоимости основных фондов за счет их вывода из эксплуатации.</v>
      </c>
      <c r="O57" s="884" t="s">
        <v>2315</v>
      </c>
      <c r="P57" s="884" t="s">
        <v>911</v>
      </c>
      <c r="Q57" s="884" t="s">
        <v>911</v>
      </c>
      <c r="R57" s="884" t="s">
        <v>911</v>
      </c>
      <c r="S57" s="884"/>
      <c r="T57" s="773"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2" t="s">
        <v>2316</v>
      </c>
      <c r="V57" s="772" t="s">
        <v>2316</v>
      </c>
      <c r="W57" s="772" t="s">
        <v>2316</v>
      </c>
      <c r="X57" s="772"/>
      <c r="Y57" s="927"/>
      <c r="Z57" s="775" t="s">
        <v>913</v>
      </c>
      <c r="AA57" s="775" t="s">
        <v>913</v>
      </c>
      <c r="AB57" s="775" t="s">
        <v>913</v>
      </c>
      <c r="AC57" s="775" t="s">
        <v>913</v>
      </c>
      <c r="AD57" s="775"/>
    </row>
    <row r="58" spans="1:30" ht="18" customHeight="1">
      <c r="A58" s="774"/>
      <c r="B58" s="827">
        <v>41</v>
      </c>
      <c r="C58" s="772">
        <v>2</v>
      </c>
      <c r="D58" s="894"/>
      <c r="E58" s="772"/>
      <c r="F58" s="772"/>
      <c r="G58" s="772"/>
      <c r="H58" s="819"/>
      <c r="I58" s="932" t="str">
        <f t="shared" si="7"/>
        <v>5.2</v>
      </c>
      <c r="J58" s="932" t="str">
        <f t="shared" si="8"/>
        <v>Изменение стоимости основных фондов за счет их переоценки</v>
      </c>
      <c r="K58" s="932">
        <f t="shared" si="9"/>
        <v>0</v>
      </c>
      <c r="L58" s="773" t="str">
        <f t="shared" si="10"/>
        <v>5.2</v>
      </c>
      <c r="M58" s="773" t="str">
        <f t="shared" si="11"/>
        <v>Изменение стоимости основных фондов за счет их переоценки</v>
      </c>
      <c r="N58" s="773" t="str">
        <f t="shared" si="12"/>
        <v/>
      </c>
      <c r="O58" s="884" t="s">
        <v>1046</v>
      </c>
      <c r="P58" s="884" t="s">
        <v>949</v>
      </c>
      <c r="Q58" s="884" t="s">
        <v>949</v>
      </c>
      <c r="R58" s="884" t="s">
        <v>949</v>
      </c>
      <c r="S58" s="884"/>
      <c r="T58" s="773"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2" t="s">
        <v>2317</v>
      </c>
      <c r="V58" s="772" t="s">
        <v>2317</v>
      </c>
      <c r="W58" s="772" t="s">
        <v>2317</v>
      </c>
      <c r="X58" s="772"/>
      <c r="Y58" s="927"/>
      <c r="Z58" s="775"/>
      <c r="AA58" s="778"/>
      <c r="AB58" s="775"/>
      <c r="AC58" s="775"/>
      <c r="AD58" s="775"/>
    </row>
    <row r="59" spans="1:30" ht="36" customHeight="1">
      <c r="A59" s="774"/>
      <c r="B59" s="827">
        <v>42</v>
      </c>
      <c r="C59" s="772">
        <v>3</v>
      </c>
      <c r="D59" s="894" t="s">
        <v>2305</v>
      </c>
      <c r="E59" s="772" t="s">
        <v>2305</v>
      </c>
      <c r="F59" s="772" t="s">
        <v>2305</v>
      </c>
      <c r="G59" s="772"/>
      <c r="H59" s="819"/>
      <c r="I59" s="932">
        <f t="shared" si="7"/>
        <v>0</v>
      </c>
      <c r="J59" s="932">
        <f t="shared" si="8"/>
        <v>0</v>
      </c>
      <c r="K59" s="932">
        <f t="shared" si="9"/>
        <v>0</v>
      </c>
      <c r="L59" s="773" t="str">
        <f t="shared" si="10"/>
        <v/>
      </c>
      <c r="M59" s="773" t="str">
        <f t="shared" si="11"/>
        <v/>
      </c>
      <c r="N59" s="773" t="str">
        <f t="shared" si="12"/>
        <v/>
      </c>
      <c r="O59" s="884"/>
      <c r="P59" s="884" t="s">
        <v>123</v>
      </c>
      <c r="Q59" s="884" t="s">
        <v>123</v>
      </c>
      <c r="R59" s="884" t="s">
        <v>123</v>
      </c>
      <c r="S59" s="884"/>
      <c r="T59" s="772"/>
      <c r="U59" s="772" t="s">
        <v>2318</v>
      </c>
      <c r="V59" s="772" t="s">
        <v>2319</v>
      </c>
      <c r="W59" s="772" t="s">
        <v>2320</v>
      </c>
      <c r="X59" s="772"/>
      <c r="Y59" s="927"/>
      <c r="Z59" s="775"/>
      <c r="AA59" s="778"/>
      <c r="AB59" s="775"/>
      <c r="AC59" s="775"/>
      <c r="AD59" s="775"/>
    </row>
    <row r="60" spans="1:30" ht="81" customHeight="1">
      <c r="A60" s="774"/>
      <c r="B60" s="827">
        <v>43</v>
      </c>
      <c r="C60" s="772" t="s">
        <v>2321</v>
      </c>
      <c r="D60" s="894" t="s">
        <v>2321</v>
      </c>
      <c r="E60" s="772" t="s">
        <v>2321</v>
      </c>
      <c r="F60" s="772" t="s">
        <v>2321</v>
      </c>
      <c r="G60" s="772"/>
      <c r="H60" s="819"/>
      <c r="I60" s="932" t="str">
        <f t="shared" si="7"/>
        <v>6</v>
      </c>
      <c r="J60" s="932" t="str">
        <f t="shared" si="8"/>
        <v>Годовая бухгалтерская (финансовая) отчетность, включая бухгалтерский баланс и приложения к нему</v>
      </c>
      <c r="K60" s="932"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3" t="str">
        <f t="shared" si="10"/>
        <v>6</v>
      </c>
      <c r="M60" s="773" t="str">
        <f t="shared" si="11"/>
        <v>Годовая бухгалтерская (финансовая) отчетность, включая бухгалтерский баланс и приложения к нему</v>
      </c>
      <c r="N60" s="773"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4" t="s">
        <v>93</v>
      </c>
      <c r="P60" s="884" t="s">
        <v>93</v>
      </c>
      <c r="Q60" s="884" t="s">
        <v>93</v>
      </c>
      <c r="R60" s="884" t="s">
        <v>93</v>
      </c>
      <c r="S60" s="884"/>
      <c r="T60" s="772" t="s">
        <v>775</v>
      </c>
      <c r="U60" s="772" t="s">
        <v>775</v>
      </c>
      <c r="V60" s="772" t="s">
        <v>775</v>
      </c>
      <c r="W60" s="772" t="s">
        <v>775</v>
      </c>
      <c r="X60" s="772"/>
      <c r="Y60" s="927"/>
      <c r="Z60" s="775" t="s">
        <v>2322</v>
      </c>
      <c r="AA60" s="778" t="s">
        <v>2323</v>
      </c>
      <c r="AB60" s="775" t="s">
        <v>2324</v>
      </c>
      <c r="AC60" s="775" t="s">
        <v>2323</v>
      </c>
      <c r="AD60" s="775"/>
    </row>
    <row r="61" spans="1:30" ht="9" customHeight="1">
      <c r="A61" s="774"/>
      <c r="B61" s="827">
        <v>44</v>
      </c>
      <c r="C61" s="772"/>
      <c r="D61" s="894" t="s">
        <v>2325</v>
      </c>
      <c r="E61" s="772"/>
      <c r="F61" s="772"/>
      <c r="G61" s="772"/>
      <c r="H61" s="819"/>
      <c r="I61" s="932">
        <f t="shared" si="7"/>
        <v>0</v>
      </c>
      <c r="J61" s="932">
        <f t="shared" si="8"/>
        <v>0</v>
      </c>
      <c r="K61" s="932">
        <f t="shared" si="9"/>
        <v>0</v>
      </c>
      <c r="L61" s="773" t="str">
        <f t="shared" si="10"/>
        <v/>
      </c>
      <c r="M61" s="773" t="str">
        <f t="shared" si="11"/>
        <v/>
      </c>
      <c r="N61" s="773" t="str">
        <f t="shared" si="12"/>
        <v/>
      </c>
      <c r="O61" s="884"/>
      <c r="P61" s="884" t="s">
        <v>94</v>
      </c>
      <c r="Q61" s="884"/>
      <c r="R61" s="884"/>
      <c r="S61" s="884"/>
      <c r="T61" s="772"/>
      <c r="U61" s="772" t="s">
        <v>2326</v>
      </c>
      <c r="V61" s="772"/>
      <c r="W61" s="772"/>
      <c r="X61" s="772"/>
      <c r="Y61" s="927"/>
      <c r="Z61" s="775"/>
      <c r="AA61" s="778"/>
      <c r="AB61" s="775"/>
      <c r="AC61" s="775"/>
      <c r="AD61" s="775"/>
    </row>
    <row r="62" spans="1:30" ht="9" customHeight="1">
      <c r="A62" s="774"/>
      <c r="B62" s="827">
        <v>45</v>
      </c>
      <c r="C62" s="772"/>
      <c r="D62" s="894" t="s">
        <v>2327</v>
      </c>
      <c r="E62" s="772"/>
      <c r="F62" s="772"/>
      <c r="G62" s="772"/>
      <c r="H62" s="819"/>
      <c r="I62" s="932">
        <f t="shared" si="7"/>
        <v>0</v>
      </c>
      <c r="J62" s="932">
        <f t="shared" si="8"/>
        <v>0</v>
      </c>
      <c r="K62" s="932">
        <f t="shared" si="9"/>
        <v>0</v>
      </c>
      <c r="L62" s="773" t="str">
        <f t="shared" si="10"/>
        <v/>
      </c>
      <c r="M62" s="773" t="str">
        <f t="shared" si="11"/>
        <v/>
      </c>
      <c r="N62" s="773" t="str">
        <f t="shared" si="12"/>
        <v/>
      </c>
      <c r="O62" s="884"/>
      <c r="P62" s="884" t="s">
        <v>124</v>
      </c>
      <c r="Q62" s="884"/>
      <c r="R62" s="884"/>
      <c r="S62" s="884"/>
      <c r="T62" s="772"/>
      <c r="U62" s="772" t="s">
        <v>2328</v>
      </c>
      <c r="V62" s="772"/>
      <c r="W62" s="772"/>
      <c r="X62" s="772"/>
      <c r="Y62" s="927"/>
      <c r="Z62" s="775"/>
      <c r="AA62" s="778"/>
      <c r="AB62" s="775"/>
      <c r="AC62" s="775"/>
      <c r="AD62" s="775"/>
    </row>
    <row r="63" spans="1:30" ht="18" customHeight="1">
      <c r="A63" s="774"/>
      <c r="B63" s="827">
        <v>46</v>
      </c>
      <c r="C63" s="772"/>
      <c r="D63" s="894" t="s">
        <v>2329</v>
      </c>
      <c r="E63" s="772"/>
      <c r="F63" s="772"/>
      <c r="G63" s="772"/>
      <c r="H63" s="819"/>
      <c r="I63" s="932">
        <f t="shared" si="7"/>
        <v>0</v>
      </c>
      <c r="J63" s="932">
        <f t="shared" si="8"/>
        <v>0</v>
      </c>
      <c r="K63" s="932">
        <f t="shared" si="9"/>
        <v>0</v>
      </c>
      <c r="L63" s="773" t="str">
        <f t="shared" si="10"/>
        <v/>
      </c>
      <c r="M63" s="773" t="str">
        <f t="shared" si="11"/>
        <v/>
      </c>
      <c r="N63" s="773" t="str">
        <f t="shared" si="12"/>
        <v/>
      </c>
      <c r="O63" s="884"/>
      <c r="P63" s="884" t="s">
        <v>169</v>
      </c>
      <c r="Q63" s="884"/>
      <c r="R63" s="884"/>
      <c r="S63" s="884"/>
      <c r="T63" s="772"/>
      <c r="U63" s="772" t="s">
        <v>2330</v>
      </c>
      <c r="V63" s="772"/>
      <c r="W63" s="772"/>
      <c r="X63" s="772"/>
      <c r="Y63" s="927"/>
      <c r="Z63" s="775"/>
      <c r="AA63" s="778"/>
      <c r="AB63" s="775"/>
      <c r="AC63" s="775"/>
      <c r="AD63" s="775"/>
    </row>
    <row r="64" spans="1:30" ht="18" customHeight="1">
      <c r="A64" s="774"/>
      <c r="B64" s="827">
        <v>47</v>
      </c>
      <c r="C64" s="772"/>
      <c r="D64" s="894" t="s">
        <v>2331</v>
      </c>
      <c r="E64" s="772"/>
      <c r="F64" s="772"/>
      <c r="G64" s="772"/>
      <c r="H64" s="819"/>
      <c r="I64" s="932">
        <f t="shared" si="7"/>
        <v>0</v>
      </c>
      <c r="J64" s="932">
        <f t="shared" si="8"/>
        <v>0</v>
      </c>
      <c r="K64" s="932">
        <f t="shared" si="9"/>
        <v>0</v>
      </c>
      <c r="L64" s="773" t="str">
        <f t="shared" si="10"/>
        <v/>
      </c>
      <c r="M64" s="773" t="str">
        <f t="shared" si="11"/>
        <v/>
      </c>
      <c r="N64" s="773" t="str">
        <f t="shared" si="12"/>
        <v/>
      </c>
      <c r="O64" s="884"/>
      <c r="P64" s="884" t="s">
        <v>170</v>
      </c>
      <c r="Q64" s="884"/>
      <c r="R64" s="884"/>
      <c r="S64" s="884"/>
      <c r="T64" s="772"/>
      <c r="U64" s="772" t="s">
        <v>2332</v>
      </c>
      <c r="V64" s="772"/>
      <c r="W64" s="772"/>
      <c r="X64" s="772"/>
      <c r="Y64" s="927"/>
      <c r="Z64" s="775"/>
      <c r="AA64" s="778" t="s">
        <v>2333</v>
      </c>
      <c r="AB64" s="775"/>
      <c r="AC64" s="775"/>
      <c r="AD64" s="775"/>
    </row>
    <row r="65" spans="1:30" ht="18" customHeight="1">
      <c r="A65" s="774"/>
      <c r="B65" s="827">
        <v>48</v>
      </c>
      <c r="C65" s="772"/>
      <c r="D65" s="894"/>
      <c r="E65" s="772"/>
      <c r="F65" s="772"/>
      <c r="G65" s="772"/>
      <c r="H65" s="819"/>
      <c r="I65" s="932">
        <f t="shared" si="7"/>
        <v>0</v>
      </c>
      <c r="J65" s="932">
        <f t="shared" si="8"/>
        <v>0</v>
      </c>
      <c r="K65" s="932">
        <f t="shared" si="9"/>
        <v>0</v>
      </c>
      <c r="L65" s="773" t="str">
        <f t="shared" si="10"/>
        <v/>
      </c>
      <c r="M65" s="773" t="str">
        <f t="shared" si="11"/>
        <v/>
      </c>
      <c r="N65" s="773" t="str">
        <f t="shared" si="12"/>
        <v/>
      </c>
      <c r="O65" s="884"/>
      <c r="P65" s="884" t="s">
        <v>2249</v>
      </c>
      <c r="Q65" s="884"/>
      <c r="R65" s="884"/>
      <c r="S65" s="884"/>
      <c r="T65" s="772"/>
      <c r="U65" s="772" t="s">
        <v>2334</v>
      </c>
      <c r="V65" s="772"/>
      <c r="W65" s="772"/>
      <c r="X65" s="772"/>
      <c r="Y65" s="927"/>
      <c r="Z65" s="775"/>
      <c r="AA65" s="778"/>
      <c r="AB65" s="775"/>
      <c r="AC65" s="775"/>
      <c r="AD65" s="775"/>
    </row>
    <row r="66" spans="1:30" ht="18" customHeight="1">
      <c r="A66" s="774"/>
      <c r="B66" s="827">
        <v>49</v>
      </c>
      <c r="C66" s="772"/>
      <c r="D66" s="894"/>
      <c r="E66" s="772"/>
      <c r="F66" s="772"/>
      <c r="G66" s="772"/>
      <c r="H66" s="819"/>
      <c r="I66" s="932">
        <f t="shared" si="7"/>
        <v>0</v>
      </c>
      <c r="J66" s="932">
        <f t="shared" si="8"/>
        <v>0</v>
      </c>
      <c r="K66" s="932">
        <f t="shared" si="9"/>
        <v>0</v>
      </c>
      <c r="L66" s="773" t="str">
        <f t="shared" si="10"/>
        <v/>
      </c>
      <c r="M66" s="773" t="str">
        <f t="shared" si="11"/>
        <v/>
      </c>
      <c r="N66" s="773" t="str">
        <f t="shared" si="12"/>
        <v/>
      </c>
      <c r="O66" s="884"/>
      <c r="P66" s="884" t="s">
        <v>2253</v>
      </c>
      <c r="Q66" s="884"/>
      <c r="R66" s="884"/>
      <c r="S66" s="884"/>
      <c r="T66" s="772"/>
      <c r="U66" s="772" t="s">
        <v>2335</v>
      </c>
      <c r="V66" s="772"/>
      <c r="W66" s="772"/>
      <c r="X66" s="772"/>
      <c r="Y66" s="927"/>
      <c r="Z66" s="775"/>
      <c r="AA66" s="778"/>
      <c r="AB66" s="775"/>
      <c r="AC66" s="775"/>
      <c r="AD66" s="775"/>
    </row>
    <row r="67" spans="1:30" ht="27" customHeight="1">
      <c r="A67" s="774"/>
      <c r="B67" s="827">
        <v>50</v>
      </c>
      <c r="C67" s="772"/>
      <c r="D67" s="894"/>
      <c r="E67" s="772"/>
      <c r="F67" s="772"/>
      <c r="G67" s="772"/>
      <c r="H67" s="819"/>
      <c r="I67" s="932">
        <f t="shared" si="7"/>
        <v>0</v>
      </c>
      <c r="J67" s="932">
        <f t="shared" si="8"/>
        <v>0</v>
      </c>
      <c r="K67" s="932">
        <f t="shared" si="9"/>
        <v>0</v>
      </c>
      <c r="L67" s="773" t="str">
        <f t="shared" si="10"/>
        <v/>
      </c>
      <c r="M67" s="773" t="str">
        <f t="shared" si="11"/>
        <v/>
      </c>
      <c r="N67" s="773" t="str">
        <f t="shared" si="12"/>
        <v/>
      </c>
      <c r="O67" s="884"/>
      <c r="P67" s="884" t="s">
        <v>2336</v>
      </c>
      <c r="Q67" s="884"/>
      <c r="R67" s="884"/>
      <c r="S67" s="884"/>
      <c r="T67" s="772"/>
      <c r="U67" s="772" t="s">
        <v>2337</v>
      </c>
      <c r="V67" s="772"/>
      <c r="W67" s="772"/>
      <c r="X67" s="772"/>
      <c r="Y67" s="927"/>
      <c r="Z67" s="775"/>
      <c r="AA67" s="778"/>
      <c r="AB67" s="775"/>
      <c r="AC67" s="775"/>
      <c r="AD67" s="775"/>
    </row>
    <row r="68" spans="1:30" ht="27" customHeight="1">
      <c r="A68" s="774"/>
      <c r="B68" s="827">
        <v>51</v>
      </c>
      <c r="C68" s="772"/>
      <c r="D68" s="894"/>
      <c r="E68" s="772"/>
      <c r="F68" s="772"/>
      <c r="G68" s="772"/>
      <c r="H68" s="819"/>
      <c r="I68" s="932">
        <f t="shared" si="7"/>
        <v>0</v>
      </c>
      <c r="J68" s="932">
        <f t="shared" si="8"/>
        <v>0</v>
      </c>
      <c r="K68" s="932">
        <f t="shared" si="9"/>
        <v>0</v>
      </c>
      <c r="L68" s="773" t="str">
        <f t="shared" si="10"/>
        <v/>
      </c>
      <c r="M68" s="773" t="str">
        <f t="shared" si="11"/>
        <v/>
      </c>
      <c r="N68" s="773" t="str">
        <f t="shared" si="12"/>
        <v/>
      </c>
      <c r="O68" s="884"/>
      <c r="P68" s="884" t="s">
        <v>2338</v>
      </c>
      <c r="Q68" s="884"/>
      <c r="R68" s="884"/>
      <c r="S68" s="884"/>
      <c r="T68" s="772"/>
      <c r="U68" s="772" t="s">
        <v>2339</v>
      </c>
      <c r="V68" s="772"/>
      <c r="W68" s="772"/>
      <c r="X68" s="772"/>
      <c r="Y68" s="927"/>
      <c r="Z68" s="775"/>
      <c r="AA68" s="778"/>
      <c r="AB68" s="775"/>
      <c r="AC68" s="775"/>
      <c r="AD68" s="775"/>
    </row>
    <row r="69" spans="1:30" ht="9" customHeight="1">
      <c r="A69" s="774"/>
      <c r="B69" s="827">
        <v>52</v>
      </c>
      <c r="C69" s="772"/>
      <c r="D69" s="894" t="s">
        <v>2340</v>
      </c>
      <c r="E69" s="772"/>
      <c r="F69" s="772"/>
      <c r="G69" s="772"/>
      <c r="H69" s="819"/>
      <c r="I69" s="932">
        <f t="shared" si="7"/>
        <v>0</v>
      </c>
      <c r="J69" s="932">
        <f t="shared" si="8"/>
        <v>0</v>
      </c>
      <c r="K69" s="932">
        <f t="shared" si="9"/>
        <v>0</v>
      </c>
      <c r="L69" s="773" t="str">
        <f t="shared" si="10"/>
        <v/>
      </c>
      <c r="M69" s="773" t="str">
        <f t="shared" si="11"/>
        <v/>
      </c>
      <c r="N69" s="773" t="str">
        <f t="shared" si="12"/>
        <v/>
      </c>
      <c r="O69" s="884"/>
      <c r="P69" s="884" t="s">
        <v>171</v>
      </c>
      <c r="Q69" s="884"/>
      <c r="R69" s="884"/>
      <c r="S69" s="884"/>
      <c r="T69" s="772"/>
      <c r="U69" s="772" t="s">
        <v>2341</v>
      </c>
      <c r="V69" s="772"/>
      <c r="W69" s="772"/>
      <c r="X69" s="772"/>
      <c r="Y69" s="927"/>
      <c r="Z69" s="775"/>
      <c r="AA69" s="778"/>
      <c r="AB69" s="775"/>
      <c r="AC69" s="775"/>
      <c r="AD69" s="775"/>
    </row>
    <row r="70" spans="1:30" ht="27" customHeight="1">
      <c r="A70" s="774"/>
      <c r="B70" s="827">
        <v>53</v>
      </c>
      <c r="C70" s="772"/>
      <c r="D70" s="894"/>
      <c r="E70" s="772" t="s">
        <v>2325</v>
      </c>
      <c r="F70" s="772"/>
      <c r="G70" s="772"/>
      <c r="H70" s="819"/>
      <c r="I70" s="932">
        <f t="shared" si="7"/>
        <v>0</v>
      </c>
      <c r="J70" s="932">
        <f t="shared" si="8"/>
        <v>0</v>
      </c>
      <c r="K70" s="932">
        <f t="shared" si="9"/>
        <v>0</v>
      </c>
      <c r="L70" s="773" t="str">
        <f t="shared" si="10"/>
        <v/>
      </c>
      <c r="M70" s="773" t="str">
        <f t="shared" si="11"/>
        <v/>
      </c>
      <c r="N70" s="773" t="str">
        <f t="shared" si="12"/>
        <v/>
      </c>
      <c r="O70" s="884"/>
      <c r="P70" s="884"/>
      <c r="Q70" s="884" t="s">
        <v>94</v>
      </c>
      <c r="R70" s="884"/>
      <c r="S70" s="884"/>
      <c r="T70" s="772"/>
      <c r="U70" s="772"/>
      <c r="V70" s="772" t="s">
        <v>2342</v>
      </c>
      <c r="W70" s="772"/>
      <c r="X70" s="772"/>
      <c r="Y70" s="927"/>
      <c r="Z70" s="775"/>
      <c r="AA70" s="778"/>
      <c r="AB70" s="775"/>
      <c r="AC70" s="775"/>
      <c r="AD70" s="775"/>
    </row>
    <row r="71" spans="1:30" ht="36" customHeight="1">
      <c r="A71" s="774"/>
      <c r="B71" s="827">
        <v>54</v>
      </c>
      <c r="C71" s="772"/>
      <c r="D71" s="894"/>
      <c r="E71" s="772" t="s">
        <v>2327</v>
      </c>
      <c r="F71" s="772"/>
      <c r="G71" s="772"/>
      <c r="H71" s="819"/>
      <c r="I71" s="932">
        <f t="shared" si="7"/>
        <v>0</v>
      </c>
      <c r="J71" s="932">
        <f t="shared" si="8"/>
        <v>0</v>
      </c>
      <c r="K71" s="932">
        <f t="shared" si="9"/>
        <v>0</v>
      </c>
      <c r="L71" s="773" t="str">
        <f t="shared" si="10"/>
        <v/>
      </c>
      <c r="M71" s="773" t="str">
        <f t="shared" si="11"/>
        <v/>
      </c>
      <c r="N71" s="773" t="str">
        <f t="shared" si="12"/>
        <v/>
      </c>
      <c r="O71" s="884"/>
      <c r="P71" s="884"/>
      <c r="Q71" s="884" t="s">
        <v>124</v>
      </c>
      <c r="R71" s="884"/>
      <c r="S71" s="884"/>
      <c r="T71" s="772"/>
      <c r="U71" s="772"/>
      <c r="V71" s="772" t="s">
        <v>2343</v>
      </c>
      <c r="W71" s="772"/>
      <c r="X71" s="772"/>
      <c r="Y71" s="927"/>
      <c r="Z71" s="775"/>
      <c r="AA71" s="778"/>
      <c r="AB71" s="775"/>
      <c r="AC71" s="775"/>
      <c r="AD71" s="775"/>
    </row>
    <row r="72" spans="1:30" ht="27" customHeight="1">
      <c r="A72" s="774"/>
      <c r="B72" s="827">
        <v>55</v>
      </c>
      <c r="C72" s="772"/>
      <c r="D72" s="894"/>
      <c r="E72" s="772" t="s">
        <v>2329</v>
      </c>
      <c r="F72" s="772"/>
      <c r="G72" s="772"/>
      <c r="H72" s="819"/>
      <c r="I72" s="932">
        <f t="shared" si="7"/>
        <v>0</v>
      </c>
      <c r="J72" s="932">
        <f t="shared" si="8"/>
        <v>0</v>
      </c>
      <c r="K72" s="932">
        <f t="shared" si="9"/>
        <v>0</v>
      </c>
      <c r="L72" s="773" t="str">
        <f t="shared" si="10"/>
        <v/>
      </c>
      <c r="M72" s="773" t="str">
        <f t="shared" si="11"/>
        <v/>
      </c>
      <c r="N72" s="773" t="str">
        <f t="shared" si="12"/>
        <v/>
      </c>
      <c r="O72" s="884"/>
      <c r="P72" s="884"/>
      <c r="Q72" s="884" t="s">
        <v>169</v>
      </c>
      <c r="R72" s="884"/>
      <c r="S72" s="884"/>
      <c r="T72" s="772"/>
      <c r="U72" s="772"/>
      <c r="V72" s="772" t="s">
        <v>2344</v>
      </c>
      <c r="W72" s="772"/>
      <c r="X72" s="772"/>
      <c r="Y72" s="927"/>
      <c r="Z72" s="775"/>
      <c r="AA72" s="778"/>
      <c r="AB72" s="775"/>
      <c r="AC72" s="775"/>
      <c r="AD72" s="775"/>
    </row>
    <row r="73" spans="1:30" ht="36" customHeight="1">
      <c r="A73" s="774"/>
      <c r="B73" s="827">
        <v>56</v>
      </c>
      <c r="C73" s="772"/>
      <c r="D73" s="894"/>
      <c r="E73" s="772" t="s">
        <v>2331</v>
      </c>
      <c r="F73" s="772"/>
      <c r="G73" s="772"/>
      <c r="H73" s="819"/>
      <c r="I73" s="932">
        <f t="shared" si="7"/>
        <v>0</v>
      </c>
      <c r="J73" s="932">
        <f t="shared" si="8"/>
        <v>0</v>
      </c>
      <c r="K73" s="932">
        <f t="shared" si="9"/>
        <v>0</v>
      </c>
      <c r="L73" s="773" t="str">
        <f t="shared" si="10"/>
        <v/>
      </c>
      <c r="M73" s="773" t="str">
        <f t="shared" si="11"/>
        <v/>
      </c>
      <c r="N73" s="773" t="str">
        <f t="shared" si="12"/>
        <v/>
      </c>
      <c r="O73" s="884"/>
      <c r="P73" s="884"/>
      <c r="Q73" s="884" t="s">
        <v>170</v>
      </c>
      <c r="R73" s="884"/>
      <c r="S73" s="884"/>
      <c r="T73" s="772"/>
      <c r="U73" s="772"/>
      <c r="V73" s="772" t="s">
        <v>2345</v>
      </c>
      <c r="W73" s="772"/>
      <c r="X73" s="772"/>
      <c r="Y73" s="927"/>
      <c r="Z73" s="775"/>
      <c r="AA73" s="778"/>
      <c r="AB73" s="775"/>
      <c r="AC73" s="775"/>
      <c r="AD73" s="775"/>
    </row>
    <row r="74" spans="1:30" ht="18" customHeight="1">
      <c r="A74" s="774"/>
      <c r="B74" s="827">
        <v>57</v>
      </c>
      <c r="C74" s="772"/>
      <c r="D74" s="894"/>
      <c r="E74" s="772" t="s">
        <v>2340</v>
      </c>
      <c r="F74" s="772"/>
      <c r="G74" s="772"/>
      <c r="H74" s="819"/>
      <c r="I74" s="932">
        <f t="shared" si="7"/>
        <v>0</v>
      </c>
      <c r="J74" s="932">
        <f t="shared" si="8"/>
        <v>0</v>
      </c>
      <c r="K74" s="932">
        <f t="shared" si="9"/>
        <v>0</v>
      </c>
      <c r="L74" s="773" t="str">
        <f t="shared" si="10"/>
        <v/>
      </c>
      <c r="M74" s="773" t="str">
        <f t="shared" si="11"/>
        <v/>
      </c>
      <c r="N74" s="773" t="str">
        <f t="shared" si="12"/>
        <v/>
      </c>
      <c r="O74" s="884"/>
      <c r="P74" s="884"/>
      <c r="Q74" s="884" t="s">
        <v>171</v>
      </c>
      <c r="R74" s="884"/>
      <c r="S74" s="884"/>
      <c r="T74" s="772"/>
      <c r="U74" s="772"/>
      <c r="V74" s="772" t="s">
        <v>2346</v>
      </c>
      <c r="W74" s="772"/>
      <c r="X74" s="772"/>
      <c r="Y74" s="927"/>
      <c r="Z74" s="775"/>
      <c r="AA74" s="778"/>
      <c r="AB74" s="775"/>
      <c r="AC74" s="775"/>
      <c r="AD74" s="775"/>
    </row>
    <row r="75" spans="1:30" ht="18" customHeight="1">
      <c r="A75" s="774"/>
      <c r="B75" s="827">
        <v>58</v>
      </c>
      <c r="C75" s="772"/>
      <c r="D75" s="894"/>
      <c r="E75" s="772"/>
      <c r="F75" s="772" t="s">
        <v>2325</v>
      </c>
      <c r="G75" s="772"/>
      <c r="H75" s="819"/>
      <c r="I75" s="932">
        <f t="shared" si="7"/>
        <v>0</v>
      </c>
      <c r="J75" s="932">
        <f t="shared" si="8"/>
        <v>0</v>
      </c>
      <c r="K75" s="932">
        <f t="shared" si="9"/>
        <v>0</v>
      </c>
      <c r="L75" s="773" t="str">
        <f t="shared" si="10"/>
        <v/>
      </c>
      <c r="M75" s="773" t="str">
        <f t="shared" si="11"/>
        <v/>
      </c>
      <c r="N75" s="773" t="str">
        <f t="shared" si="12"/>
        <v/>
      </c>
      <c r="O75" s="884"/>
      <c r="P75" s="884"/>
      <c r="Q75" s="884"/>
      <c r="R75" s="884" t="s">
        <v>94</v>
      </c>
      <c r="S75" s="884"/>
      <c r="T75" s="772"/>
      <c r="U75" s="772"/>
      <c r="V75" s="772"/>
      <c r="W75" s="772" t="s">
        <v>2347</v>
      </c>
      <c r="X75" s="772"/>
      <c r="Y75" s="927"/>
      <c r="Z75" s="775"/>
      <c r="AA75" s="778"/>
      <c r="AB75" s="775"/>
      <c r="AC75" s="775"/>
      <c r="AD75" s="775"/>
    </row>
    <row r="76" spans="1:30" ht="36" customHeight="1">
      <c r="A76" s="774"/>
      <c r="B76" s="827">
        <v>59</v>
      </c>
      <c r="C76" s="772"/>
      <c r="D76" s="894"/>
      <c r="E76" s="772"/>
      <c r="F76" s="772" t="s">
        <v>2327</v>
      </c>
      <c r="G76" s="772"/>
      <c r="H76" s="819"/>
      <c r="I76" s="932">
        <f t="shared" si="7"/>
        <v>0</v>
      </c>
      <c r="J76" s="932">
        <f t="shared" si="8"/>
        <v>0</v>
      </c>
      <c r="K76" s="932">
        <f t="shared" si="9"/>
        <v>0</v>
      </c>
      <c r="L76" s="773" t="str">
        <f t="shared" si="10"/>
        <v/>
      </c>
      <c r="M76" s="773" t="str">
        <f t="shared" si="11"/>
        <v/>
      </c>
      <c r="N76" s="773" t="str">
        <f t="shared" si="12"/>
        <v/>
      </c>
      <c r="O76" s="884"/>
      <c r="P76" s="884"/>
      <c r="Q76" s="884"/>
      <c r="R76" s="884" t="s">
        <v>124</v>
      </c>
      <c r="S76" s="884"/>
      <c r="T76" s="772"/>
      <c r="U76" s="772"/>
      <c r="V76" s="772"/>
      <c r="W76" s="772" t="s">
        <v>2348</v>
      </c>
      <c r="X76" s="772"/>
      <c r="Y76" s="927"/>
      <c r="Z76" s="775"/>
      <c r="AA76" s="778"/>
      <c r="AB76" s="775"/>
      <c r="AC76" s="775"/>
      <c r="AD76" s="775"/>
    </row>
    <row r="77" spans="1:30" ht="18" customHeight="1">
      <c r="A77" s="774"/>
      <c r="B77" s="827">
        <v>60</v>
      </c>
      <c r="C77" s="772"/>
      <c r="D77" s="894"/>
      <c r="E77" s="772"/>
      <c r="F77" s="772" t="s">
        <v>2329</v>
      </c>
      <c r="G77" s="772"/>
      <c r="H77" s="819"/>
      <c r="I77" s="932">
        <f t="shared" si="7"/>
        <v>0</v>
      </c>
      <c r="J77" s="932">
        <f t="shared" si="8"/>
        <v>0</v>
      </c>
      <c r="K77" s="932">
        <f t="shared" si="9"/>
        <v>0</v>
      </c>
      <c r="L77" s="773" t="str">
        <f t="shared" si="10"/>
        <v/>
      </c>
      <c r="M77" s="773" t="str">
        <f t="shared" si="11"/>
        <v/>
      </c>
      <c r="N77" s="773" t="str">
        <f t="shared" si="12"/>
        <v/>
      </c>
      <c r="O77" s="884"/>
      <c r="P77" s="884"/>
      <c r="Q77" s="884"/>
      <c r="R77" s="884" t="s">
        <v>169</v>
      </c>
      <c r="S77" s="884"/>
      <c r="T77" s="772"/>
      <c r="U77" s="772"/>
      <c r="V77" s="772"/>
      <c r="W77" s="772" t="s">
        <v>2349</v>
      </c>
      <c r="X77" s="772"/>
      <c r="Y77" s="927"/>
      <c r="Z77" s="775"/>
      <c r="AA77" s="778"/>
      <c r="AB77" s="775"/>
      <c r="AC77" s="775"/>
      <c r="AD77" s="775"/>
    </row>
    <row r="78" spans="1:30" ht="72" customHeight="1">
      <c r="A78" s="774"/>
      <c r="B78" s="827">
        <v>61</v>
      </c>
      <c r="C78" s="772" t="s">
        <v>2325</v>
      </c>
      <c r="D78" s="894"/>
      <c r="E78" s="772"/>
      <c r="F78" s="772"/>
      <c r="G78" s="772"/>
      <c r="H78" s="819"/>
      <c r="I78" s="932" t="str">
        <f t="shared" si="7"/>
        <v>7</v>
      </c>
      <c r="J78" s="932"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2"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3" t="str">
        <f t="shared" si="10"/>
        <v>7</v>
      </c>
      <c r="M78" s="773"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3"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4" t="s">
        <v>94</v>
      </c>
      <c r="P78" s="884"/>
      <c r="Q78" s="884"/>
      <c r="R78" s="884"/>
      <c r="S78" s="884"/>
      <c r="T78" s="772" t="s">
        <v>780</v>
      </c>
      <c r="U78" s="772"/>
      <c r="V78" s="772"/>
      <c r="W78" s="772"/>
      <c r="X78" s="772"/>
      <c r="Y78" s="927"/>
      <c r="Z78" s="775" t="s">
        <v>2350</v>
      </c>
      <c r="AA78" s="778"/>
      <c r="AB78" s="775"/>
      <c r="AC78" s="775"/>
      <c r="AD78" s="775"/>
    </row>
    <row r="79" spans="1:30" ht="36" customHeight="1">
      <c r="A79" s="774"/>
      <c r="B79" s="827">
        <v>62</v>
      </c>
      <c r="C79" s="772" t="s">
        <v>2327</v>
      </c>
      <c r="D79" s="894"/>
      <c r="E79" s="772"/>
      <c r="F79" s="772"/>
      <c r="G79" s="772"/>
      <c r="H79" s="819"/>
      <c r="I79" s="932" t="str">
        <f t="shared" si="7"/>
        <v>8</v>
      </c>
      <c r="J79" s="932" t="str">
        <f t="shared" si="8"/>
        <v>Тепловая нагрузка по договорам, заключенным в рамках осуществления регулируемых видов деятельности</v>
      </c>
      <c r="K79" s="932"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3" t="str">
        <f t="shared" si="10"/>
        <v>8</v>
      </c>
      <c r="M79" s="773" t="str">
        <f t="shared" si="11"/>
        <v>Тепловая нагрузка по договорам, заключенным в рамках осуществления регулируемых видов деятельности</v>
      </c>
      <c r="N79" s="773"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4" t="s">
        <v>124</v>
      </c>
      <c r="P79" s="884"/>
      <c r="Q79" s="884"/>
      <c r="R79" s="884"/>
      <c r="S79" s="884"/>
      <c r="T79" s="772" t="s">
        <v>2351</v>
      </c>
      <c r="U79" s="772"/>
      <c r="V79" s="772"/>
      <c r="W79" s="772"/>
      <c r="X79" s="772"/>
      <c r="Y79" s="927"/>
      <c r="Z79" s="775" t="s">
        <v>2352</v>
      </c>
      <c r="AA79" s="778"/>
      <c r="AB79" s="775"/>
      <c r="AC79" s="775"/>
      <c r="AD79" s="775"/>
    </row>
    <row r="80" spans="1:30" ht="45" customHeight="1">
      <c r="A80" s="774"/>
      <c r="B80" s="827">
        <v>63</v>
      </c>
      <c r="C80" s="772" t="s">
        <v>2329</v>
      </c>
      <c r="D80" s="894"/>
      <c r="E80" s="772"/>
      <c r="F80" s="772"/>
      <c r="G80" s="772"/>
      <c r="H80" s="819"/>
      <c r="I80" s="932" t="str">
        <f t="shared" si="7"/>
        <v>9</v>
      </c>
      <c r="J80" s="932" t="str">
        <f t="shared" si="8"/>
        <v>Объем вырабатываемой регулируемой организацией тепловой энергии в рамках осуществления регулируемых видов деятельности</v>
      </c>
      <c r="K80" s="932"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3" t="str">
        <f t="shared" si="10"/>
        <v>9</v>
      </c>
      <c r="M80" s="773" t="str">
        <f t="shared" si="11"/>
        <v>Объем вырабатываемой регулируемой организацией тепловой энергии в рамках осуществления регулируемых видов деятельности</v>
      </c>
      <c r="N80" s="773"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4" t="s">
        <v>169</v>
      </c>
      <c r="P80" s="884"/>
      <c r="Q80" s="884"/>
      <c r="R80" s="884"/>
      <c r="S80" s="884"/>
      <c r="T80" s="772" t="s">
        <v>2353</v>
      </c>
      <c r="U80" s="772"/>
      <c r="V80" s="772"/>
      <c r="W80" s="772"/>
      <c r="X80" s="772"/>
      <c r="Y80" s="927"/>
      <c r="Z80" s="775" t="s">
        <v>2354</v>
      </c>
      <c r="AA80" s="778"/>
      <c r="AB80" s="775"/>
      <c r="AC80" s="775"/>
      <c r="AD80" s="775"/>
    </row>
    <row r="81" spans="1:30" ht="36" customHeight="1">
      <c r="A81" s="774"/>
      <c r="B81" s="827">
        <v>64</v>
      </c>
      <c r="C81" s="772" t="s">
        <v>2331</v>
      </c>
      <c r="D81" s="894"/>
      <c r="E81" s="772"/>
      <c r="F81" s="772"/>
      <c r="G81" s="772"/>
      <c r="H81" s="819"/>
      <c r="I81" s="932" t="str">
        <f t="shared" si="7"/>
        <v>9.1</v>
      </c>
      <c r="J81" s="932" t="str">
        <f t="shared" si="8"/>
        <v>Объем приобретаемой регулируемой организацией тепловой энергии в рамках осуществления регулируемых видов деятельности</v>
      </c>
      <c r="K81" s="932" t="str">
        <f t="shared" si="9"/>
        <v>Информация указывается только едиными теплоснабжающими организациями.</v>
      </c>
      <c r="L81" s="773" t="str">
        <f t="shared" si="10"/>
        <v>9.1</v>
      </c>
      <c r="M81" s="773" t="str">
        <f t="shared" si="11"/>
        <v>Объем приобретаемой регулируемой организацией тепловой энергии в рамках осуществления регулируемых видов деятельности</v>
      </c>
      <c r="N81" s="773" t="str">
        <f t="shared" si="12"/>
        <v>Информация указывается только едиными теплоснабжающими организациями.</v>
      </c>
      <c r="O81" s="884" t="s">
        <v>2240</v>
      </c>
      <c r="P81" s="884"/>
      <c r="Q81" s="884"/>
      <c r="R81" s="884"/>
      <c r="S81" s="884"/>
      <c r="T81" s="772" t="s">
        <v>2355</v>
      </c>
      <c r="U81" s="772"/>
      <c r="V81" s="772"/>
      <c r="W81" s="772"/>
      <c r="X81" s="772"/>
      <c r="Y81" s="927"/>
      <c r="Z81" s="775" t="s">
        <v>2356</v>
      </c>
      <c r="AA81" s="778"/>
      <c r="AB81" s="775"/>
      <c r="AC81" s="775"/>
      <c r="AD81" s="775"/>
    </row>
    <row r="82" spans="1:30" ht="90" customHeight="1">
      <c r="A82" s="774"/>
      <c r="B82" s="827">
        <v>65</v>
      </c>
      <c r="C82" s="772" t="s">
        <v>2340</v>
      </c>
      <c r="D82" s="894"/>
      <c r="E82" s="772"/>
      <c r="F82" s="772"/>
      <c r="G82" s="772"/>
      <c r="H82" s="819"/>
      <c r="I82" s="932" t="str">
        <f t="shared" ref="I82:I101" si="13">INDEX(TEMPLATE_NUMBER_POINT_FHD,B82,MATCH(TEMPLATE_SPHERE,TEMPLATE_SPHERE_LIST_FOR_NOTE,0))</f>
        <v>10</v>
      </c>
      <c r="J82" s="932"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2"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3" t="str">
        <f t="shared" ref="L82:L101" si="16">IF(I82=0,"",I82)</f>
        <v>10</v>
      </c>
      <c r="M82" s="773"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3"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4" t="s">
        <v>170</v>
      </c>
      <c r="P82" s="884"/>
      <c r="Q82" s="884"/>
      <c r="R82" s="884"/>
      <c r="S82" s="884"/>
      <c r="T82" s="772" t="s">
        <v>2357</v>
      </c>
      <c r="U82" s="772"/>
      <c r="V82" s="772"/>
      <c r="W82" s="772"/>
      <c r="X82" s="772"/>
      <c r="Y82" s="927"/>
      <c r="Z82" s="775" t="s">
        <v>2358</v>
      </c>
      <c r="AA82" s="778"/>
      <c r="AB82" s="775"/>
      <c r="AC82" s="775"/>
      <c r="AD82" s="775"/>
    </row>
    <row r="83" spans="1:30" ht="9" customHeight="1">
      <c r="A83" s="774"/>
      <c r="B83" s="827">
        <v>66</v>
      </c>
      <c r="C83" s="772"/>
      <c r="D83" s="894"/>
      <c r="E83" s="772"/>
      <c r="F83" s="772"/>
      <c r="G83" s="772"/>
      <c r="H83" s="819"/>
      <c r="I83" s="932" t="str">
        <f t="shared" si="13"/>
        <v>10.1</v>
      </c>
      <c r="J83" s="932" t="str">
        <f t="shared" si="14"/>
        <v xml:space="preserve">По приборам учёта </v>
      </c>
      <c r="K83" s="932">
        <f t="shared" si="15"/>
        <v>0</v>
      </c>
      <c r="L83" s="773" t="str">
        <f t="shared" si="16"/>
        <v>10.1</v>
      </c>
      <c r="M83" s="773" t="str">
        <f t="shared" si="17"/>
        <v xml:space="preserve">По приборам учёта </v>
      </c>
      <c r="N83" s="773" t="str">
        <f t="shared" si="18"/>
        <v/>
      </c>
      <c r="O83" s="884" t="s">
        <v>2249</v>
      </c>
      <c r="P83" s="884"/>
      <c r="Q83" s="884"/>
      <c r="R83" s="884"/>
      <c r="S83" s="884"/>
      <c r="T83" s="772" t="s">
        <v>2359</v>
      </c>
      <c r="U83" s="772"/>
      <c r="V83" s="772"/>
      <c r="W83" s="772"/>
      <c r="X83" s="772"/>
      <c r="Y83" s="927"/>
      <c r="Z83" s="775"/>
      <c r="AA83" s="778"/>
      <c r="AB83" s="775"/>
      <c r="AC83" s="775"/>
      <c r="AD83" s="775"/>
    </row>
    <row r="84" spans="1:30" ht="54" customHeight="1">
      <c r="A84" s="774"/>
      <c r="B84" s="827">
        <v>67</v>
      </c>
      <c r="C84" s="772"/>
      <c r="D84" s="894"/>
      <c r="E84" s="772"/>
      <c r="F84" s="772"/>
      <c r="G84" s="772"/>
      <c r="H84" s="819"/>
      <c r="I84" s="932" t="str">
        <f t="shared" si="13"/>
        <v>10.1.1</v>
      </c>
      <c r="J84" s="932"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2">
        <f t="shared" si="15"/>
        <v>0</v>
      </c>
      <c r="L84" s="773" t="str">
        <f t="shared" si="16"/>
        <v>10.1.1</v>
      </c>
      <c r="M84" s="773"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3" t="str">
        <f t="shared" si="18"/>
        <v/>
      </c>
      <c r="O84" s="884" t="s">
        <v>2360</v>
      </c>
      <c r="P84" s="884"/>
      <c r="Q84" s="884"/>
      <c r="R84" s="884"/>
      <c r="S84" s="884"/>
      <c r="T84" s="772" t="s">
        <v>2361</v>
      </c>
      <c r="U84" s="772"/>
      <c r="V84" s="772"/>
      <c r="W84" s="772"/>
      <c r="X84" s="772"/>
      <c r="Y84" s="927"/>
      <c r="Z84" s="775"/>
      <c r="AA84" s="778"/>
      <c r="AB84" s="775"/>
      <c r="AC84" s="775"/>
      <c r="AD84" s="775"/>
    </row>
    <row r="85" spans="1:30" ht="9" customHeight="1">
      <c r="A85" s="774"/>
      <c r="B85" s="827">
        <v>68</v>
      </c>
      <c r="C85" s="772"/>
      <c r="D85" s="894"/>
      <c r="E85" s="772"/>
      <c r="F85" s="772"/>
      <c r="G85" s="772"/>
      <c r="H85" s="819"/>
      <c r="I85" s="932" t="str">
        <f t="shared" si="13"/>
        <v>10.2</v>
      </c>
      <c r="J85" s="932" t="str">
        <f t="shared" si="14"/>
        <v>Расчётным путём</v>
      </c>
      <c r="K85" s="932">
        <f t="shared" si="15"/>
        <v>0</v>
      </c>
      <c r="L85" s="773" t="str">
        <f t="shared" si="16"/>
        <v>10.2</v>
      </c>
      <c r="M85" s="773" t="str">
        <f t="shared" si="17"/>
        <v>Расчётным путём</v>
      </c>
      <c r="N85" s="773" t="str">
        <f t="shared" si="18"/>
        <v/>
      </c>
      <c r="O85" s="884" t="s">
        <v>2253</v>
      </c>
      <c r="P85" s="884"/>
      <c r="Q85" s="884"/>
      <c r="R85" s="884"/>
      <c r="S85" s="884"/>
      <c r="T85" s="772" t="s">
        <v>2362</v>
      </c>
      <c r="U85" s="772"/>
      <c r="V85" s="772"/>
      <c r="W85" s="772"/>
      <c r="X85" s="772"/>
      <c r="Y85" s="927"/>
      <c r="Z85" s="775"/>
      <c r="AA85" s="778"/>
      <c r="AB85" s="775"/>
      <c r="AC85" s="775"/>
      <c r="AD85" s="775"/>
    </row>
    <row r="86" spans="1:30" ht="27" customHeight="1">
      <c r="A86" s="774"/>
      <c r="B86" s="827">
        <v>69</v>
      </c>
      <c r="C86" s="772"/>
      <c r="D86" s="894"/>
      <c r="E86" s="772"/>
      <c r="F86" s="772"/>
      <c r="G86" s="772"/>
      <c r="H86" s="819"/>
      <c r="I86" s="932" t="str">
        <f t="shared" si="13"/>
        <v>10.3</v>
      </c>
      <c r="J86" s="932" t="str">
        <f t="shared" si="14"/>
        <v>По нормативам потребления коммунальных услуг и нормативам потребления коммунальных ресурсов</v>
      </c>
      <c r="K86" s="932">
        <f t="shared" si="15"/>
        <v>0</v>
      </c>
      <c r="L86" s="773" t="str">
        <f t="shared" si="16"/>
        <v>10.3</v>
      </c>
      <c r="M86" s="773" t="str">
        <f t="shared" si="17"/>
        <v>По нормативам потребления коммунальных услуг и нормативам потребления коммунальных ресурсов</v>
      </c>
      <c r="N86" s="773" t="str">
        <f t="shared" si="18"/>
        <v/>
      </c>
      <c r="O86" s="884" t="s">
        <v>2363</v>
      </c>
      <c r="P86" s="884"/>
      <c r="Q86" s="884"/>
      <c r="R86" s="884"/>
      <c r="S86" s="884"/>
      <c r="T86" s="772" t="s">
        <v>2364</v>
      </c>
      <c r="U86" s="772"/>
      <c r="V86" s="772"/>
      <c r="W86" s="772"/>
      <c r="X86" s="772"/>
      <c r="Y86" s="927"/>
      <c r="Z86" s="775"/>
      <c r="AA86" s="778"/>
      <c r="AB86" s="775"/>
      <c r="AC86" s="775"/>
      <c r="AD86" s="775"/>
    </row>
    <row r="87" spans="1:30" ht="36" customHeight="1">
      <c r="A87" s="774"/>
      <c r="B87" s="827">
        <v>70</v>
      </c>
      <c r="C87" s="772" t="s">
        <v>2365</v>
      </c>
      <c r="D87" s="894"/>
      <c r="E87" s="772"/>
      <c r="F87" s="772"/>
      <c r="G87" s="772"/>
      <c r="H87" s="819"/>
      <c r="I87" s="932" t="str">
        <f t="shared" si="13"/>
        <v>11</v>
      </c>
      <c r="J87" s="932"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2">
        <f t="shared" si="15"/>
        <v>0</v>
      </c>
      <c r="L87" s="773" t="str">
        <f t="shared" si="16"/>
        <v>11</v>
      </c>
      <c r="M87" s="773"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3" t="str">
        <f t="shared" si="18"/>
        <v/>
      </c>
      <c r="O87" s="884" t="s">
        <v>171</v>
      </c>
      <c r="P87" s="884"/>
      <c r="Q87" s="884"/>
      <c r="R87" s="884"/>
      <c r="S87" s="884"/>
      <c r="T87" s="772" t="s">
        <v>2366</v>
      </c>
      <c r="U87" s="772"/>
      <c r="V87" s="772"/>
      <c r="W87" s="772"/>
      <c r="X87" s="772"/>
      <c r="Y87" s="927"/>
      <c r="Z87" s="775"/>
      <c r="AA87" s="778"/>
      <c r="AB87" s="775"/>
      <c r="AC87" s="775"/>
      <c r="AD87" s="775"/>
    </row>
    <row r="88" spans="1:30" ht="18" customHeight="1">
      <c r="A88" s="774"/>
      <c r="B88" s="827">
        <v>71</v>
      </c>
      <c r="C88" s="772" t="s">
        <v>2367</v>
      </c>
      <c r="D88" s="894"/>
      <c r="E88" s="772"/>
      <c r="F88" s="772"/>
      <c r="G88" s="772"/>
      <c r="H88" s="819"/>
      <c r="I88" s="932" t="str">
        <f t="shared" si="13"/>
        <v>12</v>
      </c>
      <c r="J88" s="932" t="str">
        <f t="shared" si="14"/>
        <v>Фактический объем потерь при передаче тепловой энергии</v>
      </c>
      <c r="K88" s="932">
        <f t="shared" si="15"/>
        <v>0</v>
      </c>
      <c r="L88" s="773" t="str">
        <f t="shared" si="16"/>
        <v>12</v>
      </c>
      <c r="M88" s="773" t="str">
        <f t="shared" si="17"/>
        <v>Фактический объем потерь при передаче тепловой энергии</v>
      </c>
      <c r="N88" s="773" t="str">
        <f t="shared" si="18"/>
        <v/>
      </c>
      <c r="O88" s="884" t="s">
        <v>172</v>
      </c>
      <c r="P88" s="884"/>
      <c r="Q88" s="884"/>
      <c r="R88" s="884"/>
      <c r="S88" s="884"/>
      <c r="T88" s="772" t="s">
        <v>812</v>
      </c>
      <c r="U88" s="772"/>
      <c r="V88" s="772"/>
      <c r="W88" s="772"/>
      <c r="X88" s="772"/>
      <c r="Y88" s="927"/>
      <c r="Z88" s="775"/>
      <c r="AA88" s="778"/>
      <c r="AB88" s="775"/>
      <c r="AC88" s="775"/>
      <c r="AD88" s="775"/>
    </row>
    <row r="89" spans="1:30" ht="18" customHeight="1">
      <c r="A89" s="774"/>
      <c r="B89" s="827">
        <v>72</v>
      </c>
      <c r="C89" s="772" t="s">
        <v>2368</v>
      </c>
      <c r="D89" s="894" t="s">
        <v>2365</v>
      </c>
      <c r="E89" s="772" t="s">
        <v>2365</v>
      </c>
      <c r="F89" s="772" t="s">
        <v>2331</v>
      </c>
      <c r="G89" s="772"/>
      <c r="H89" s="819"/>
      <c r="I89" s="932" t="str">
        <f t="shared" si="13"/>
        <v>13</v>
      </c>
      <c r="J89" s="932" t="str">
        <f t="shared" si="14"/>
        <v>Среднесписочная численность основного производственного персонала</v>
      </c>
      <c r="K89" s="932">
        <f t="shared" si="15"/>
        <v>0</v>
      </c>
      <c r="L89" s="773" t="str">
        <f t="shared" si="16"/>
        <v>13</v>
      </c>
      <c r="M89" s="773" t="str">
        <f t="shared" si="17"/>
        <v>Среднесписочная численность основного производственного персонала</v>
      </c>
      <c r="N89" s="773" t="str">
        <f t="shared" si="18"/>
        <v/>
      </c>
      <c r="O89" s="884" t="s">
        <v>173</v>
      </c>
      <c r="P89" s="884" t="s">
        <v>172</v>
      </c>
      <c r="Q89" s="884" t="s">
        <v>172</v>
      </c>
      <c r="R89" s="884" t="s">
        <v>170</v>
      </c>
      <c r="S89" s="884"/>
      <c r="T89" s="772" t="s">
        <v>820</v>
      </c>
      <c r="U89" s="772" t="s">
        <v>820</v>
      </c>
      <c r="V89" s="772" t="s">
        <v>820</v>
      </c>
      <c r="W89" s="772" t="s">
        <v>820</v>
      </c>
      <c r="X89" s="772"/>
      <c r="Y89" s="927"/>
      <c r="Z89" s="775"/>
      <c r="AA89" s="778"/>
      <c r="AB89" s="775"/>
      <c r="AC89" s="775"/>
      <c r="AD89" s="775"/>
    </row>
    <row r="90" spans="1:30" ht="27" customHeight="1">
      <c r="A90" s="774"/>
      <c r="B90" s="827">
        <v>73</v>
      </c>
      <c r="C90" s="772" t="s">
        <v>2369</v>
      </c>
      <c r="D90" s="894"/>
      <c r="E90" s="772"/>
      <c r="F90" s="772"/>
      <c r="G90" s="772"/>
      <c r="H90" s="819"/>
      <c r="I90" s="932" t="str">
        <f t="shared" si="13"/>
        <v>14</v>
      </c>
      <c r="J90" s="932" t="str">
        <f t="shared" si="14"/>
        <v>Среднесписочная численность административно-управленческого персонала</v>
      </c>
      <c r="K90" s="932">
        <f t="shared" si="15"/>
        <v>0</v>
      </c>
      <c r="L90" s="773" t="str">
        <f t="shared" si="16"/>
        <v>14</v>
      </c>
      <c r="M90" s="773" t="str">
        <f t="shared" si="17"/>
        <v>Среднесписочная численность административно-управленческого персонала</v>
      </c>
      <c r="N90" s="773" t="str">
        <f t="shared" si="18"/>
        <v/>
      </c>
      <c r="O90" s="884" t="s">
        <v>174</v>
      </c>
      <c r="P90" s="884"/>
      <c r="Q90" s="884"/>
      <c r="R90" s="884"/>
      <c r="S90" s="884"/>
      <c r="T90" s="772" t="s">
        <v>822</v>
      </c>
      <c r="U90" s="772"/>
      <c r="V90" s="772"/>
      <c r="W90" s="772"/>
      <c r="X90" s="772"/>
      <c r="Y90" s="927"/>
      <c r="Z90" s="775"/>
      <c r="AA90" s="778"/>
      <c r="AB90" s="775"/>
      <c r="AC90" s="775"/>
      <c r="AD90" s="775"/>
    </row>
    <row r="91" spans="1:30" ht="18" customHeight="1">
      <c r="A91" s="774"/>
      <c r="B91" s="827">
        <v>74</v>
      </c>
      <c r="C91" s="772"/>
      <c r="D91" s="894" t="s">
        <v>2367</v>
      </c>
      <c r="E91" s="772" t="s">
        <v>2367</v>
      </c>
      <c r="F91" s="772"/>
      <c r="G91" s="772"/>
      <c r="H91" s="819"/>
      <c r="I91" s="932">
        <f t="shared" si="13"/>
        <v>0</v>
      </c>
      <c r="J91" s="932">
        <f t="shared" si="14"/>
        <v>0</v>
      </c>
      <c r="K91" s="932">
        <f t="shared" si="15"/>
        <v>0</v>
      </c>
      <c r="L91" s="773" t="str">
        <f t="shared" si="16"/>
        <v/>
      </c>
      <c r="M91" s="773" t="str">
        <f t="shared" si="17"/>
        <v/>
      </c>
      <c r="N91" s="773" t="str">
        <f t="shared" si="18"/>
        <v/>
      </c>
      <c r="O91" s="884"/>
      <c r="P91" s="884" t="s">
        <v>173</v>
      </c>
      <c r="Q91" s="884" t="s">
        <v>173</v>
      </c>
      <c r="R91" s="884"/>
      <c r="S91" s="884"/>
      <c r="T91" s="772"/>
      <c r="U91" s="772" t="s">
        <v>2370</v>
      </c>
      <c r="V91" s="772" t="s">
        <v>2370</v>
      </c>
      <c r="W91" s="772"/>
      <c r="X91" s="772"/>
      <c r="Y91" s="927"/>
      <c r="Z91" s="775"/>
      <c r="AA91" s="778"/>
      <c r="AB91" s="775"/>
      <c r="AC91" s="775"/>
      <c r="AD91" s="775"/>
    </row>
    <row r="92" spans="1:30" ht="27" customHeight="1">
      <c r="A92" s="774"/>
      <c r="B92" s="827">
        <v>75</v>
      </c>
      <c r="C92" s="772"/>
      <c r="D92" s="894" t="s">
        <v>2368</v>
      </c>
      <c r="E92" s="772"/>
      <c r="F92" s="772"/>
      <c r="G92" s="772"/>
      <c r="H92" s="819"/>
      <c r="I92" s="932">
        <f t="shared" si="13"/>
        <v>0</v>
      </c>
      <c r="J92" s="932">
        <f t="shared" si="14"/>
        <v>0</v>
      </c>
      <c r="K92" s="932">
        <f t="shared" si="15"/>
        <v>0</v>
      </c>
      <c r="L92" s="773" t="str">
        <f t="shared" si="16"/>
        <v/>
      </c>
      <c r="M92" s="773" t="str">
        <f t="shared" si="17"/>
        <v/>
      </c>
      <c r="N92" s="773" t="str">
        <f t="shared" si="18"/>
        <v/>
      </c>
      <c r="O92" s="884"/>
      <c r="P92" s="884" t="s">
        <v>174</v>
      </c>
      <c r="Q92" s="884"/>
      <c r="R92" s="884"/>
      <c r="S92" s="884"/>
      <c r="T92" s="772"/>
      <c r="U92" s="772" t="s">
        <v>2371</v>
      </c>
      <c r="V92" s="772"/>
      <c r="W92" s="772"/>
      <c r="X92" s="772"/>
      <c r="Y92" s="927"/>
      <c r="Z92" s="775"/>
      <c r="AA92" s="778" t="s">
        <v>2372</v>
      </c>
      <c r="AB92" s="775"/>
      <c r="AC92" s="775"/>
      <c r="AD92" s="775"/>
    </row>
    <row r="93" spans="1:30" ht="27" customHeight="1">
      <c r="A93" s="774"/>
      <c r="B93" s="827">
        <v>76</v>
      </c>
      <c r="C93" s="772"/>
      <c r="D93" s="894"/>
      <c r="E93" s="772"/>
      <c r="F93" s="772"/>
      <c r="G93" s="772"/>
      <c r="H93" s="819"/>
      <c r="I93" s="932">
        <f t="shared" si="13"/>
        <v>0</v>
      </c>
      <c r="J93" s="932">
        <f t="shared" si="14"/>
        <v>0</v>
      </c>
      <c r="K93" s="932">
        <f t="shared" si="15"/>
        <v>0</v>
      </c>
      <c r="L93" s="773" t="str">
        <f t="shared" si="16"/>
        <v/>
      </c>
      <c r="M93" s="773" t="str">
        <f t="shared" si="17"/>
        <v/>
      </c>
      <c r="N93" s="773" t="str">
        <f t="shared" si="18"/>
        <v/>
      </c>
      <c r="O93" s="884"/>
      <c r="P93" s="884" t="s">
        <v>2280</v>
      </c>
      <c r="Q93" s="884"/>
      <c r="R93" s="884"/>
      <c r="S93" s="884"/>
      <c r="T93" s="772"/>
      <c r="U93" s="772" t="s">
        <v>2373</v>
      </c>
      <c r="V93" s="772"/>
      <c r="W93" s="772"/>
      <c r="X93" s="772"/>
      <c r="Y93" s="927"/>
      <c r="Z93" s="775"/>
      <c r="AA93" s="778" t="s">
        <v>2374</v>
      </c>
      <c r="AB93" s="775"/>
      <c r="AC93" s="775"/>
      <c r="AD93" s="775"/>
    </row>
    <row r="94" spans="1:30" ht="45" customHeight="1">
      <c r="A94" s="774"/>
      <c r="B94" s="827">
        <v>77</v>
      </c>
      <c r="C94" s="772"/>
      <c r="D94" s="894" t="s">
        <v>2369</v>
      </c>
      <c r="E94" s="772"/>
      <c r="F94" s="772"/>
      <c r="G94" s="772"/>
      <c r="H94" s="819"/>
      <c r="I94" s="932">
        <f t="shared" si="13"/>
        <v>0</v>
      </c>
      <c r="J94" s="932">
        <f t="shared" si="14"/>
        <v>0</v>
      </c>
      <c r="K94" s="932">
        <f t="shared" si="15"/>
        <v>0</v>
      </c>
      <c r="L94" s="773" t="str">
        <f t="shared" si="16"/>
        <v/>
      </c>
      <c r="M94" s="773" t="str">
        <f t="shared" si="17"/>
        <v/>
      </c>
      <c r="N94" s="773" t="str">
        <f t="shared" si="18"/>
        <v/>
      </c>
      <c r="O94" s="884"/>
      <c r="P94" s="884" t="s">
        <v>1655</v>
      </c>
      <c r="Q94" s="884"/>
      <c r="R94" s="884"/>
      <c r="S94" s="884"/>
      <c r="T94" s="772"/>
      <c r="U94" s="772" t="s">
        <v>2375</v>
      </c>
      <c r="V94" s="772"/>
      <c r="W94" s="772"/>
      <c r="X94" s="772"/>
      <c r="Y94" s="927"/>
      <c r="Z94" s="775"/>
      <c r="AA94" s="778" t="s">
        <v>2376</v>
      </c>
      <c r="AB94" s="775"/>
      <c r="AC94" s="775"/>
      <c r="AD94" s="775"/>
    </row>
    <row r="95" spans="1:30" ht="99" customHeight="1">
      <c r="A95" s="774"/>
      <c r="B95" s="827">
        <v>78</v>
      </c>
      <c r="C95" s="772" t="s">
        <v>2377</v>
      </c>
      <c r="D95" s="894"/>
      <c r="E95" s="772"/>
      <c r="F95" s="772"/>
      <c r="G95" s="772"/>
      <c r="H95" s="819"/>
      <c r="I95" s="932" t="str">
        <f t="shared" si="13"/>
        <v>15</v>
      </c>
      <c r="J95" s="932"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2">
        <f t="shared" si="15"/>
        <v>0</v>
      </c>
      <c r="L95" s="773" t="str">
        <f t="shared" si="16"/>
        <v>15</v>
      </c>
      <c r="M95" s="773"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3" t="str">
        <f t="shared" si="18"/>
        <v/>
      </c>
      <c r="O95" s="884" t="s">
        <v>1655</v>
      </c>
      <c r="P95" s="884"/>
      <c r="Q95" s="884"/>
      <c r="R95" s="884"/>
      <c r="S95" s="884"/>
      <c r="T95" s="772" t="s">
        <v>2378</v>
      </c>
      <c r="U95" s="772"/>
      <c r="V95" s="772"/>
      <c r="W95" s="772"/>
      <c r="X95" s="772"/>
      <c r="Y95" s="927"/>
      <c r="Z95" s="775"/>
      <c r="AA95" s="778"/>
      <c r="AB95" s="775"/>
      <c r="AC95" s="775"/>
      <c r="AD95" s="775"/>
    </row>
    <row r="96" spans="1:30" ht="99" customHeight="1">
      <c r="A96" s="774"/>
      <c r="B96" s="827">
        <v>79</v>
      </c>
      <c r="C96" s="772" t="s">
        <v>1354</v>
      </c>
      <c r="D96" s="894"/>
      <c r="E96" s="772"/>
      <c r="F96" s="772"/>
      <c r="G96" s="772"/>
      <c r="H96" s="819"/>
      <c r="I96" s="932" t="str">
        <f t="shared" si="13"/>
        <v>16</v>
      </c>
      <c r="J96" s="932"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2"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3" t="str">
        <f t="shared" si="16"/>
        <v>16</v>
      </c>
      <c r="M96" s="773"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3"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4" t="s">
        <v>1661</v>
      </c>
      <c r="P96" s="884"/>
      <c r="Q96" s="884"/>
      <c r="R96" s="884"/>
      <c r="S96" s="884"/>
      <c r="T96" s="772" t="s">
        <v>2379</v>
      </c>
      <c r="U96" s="772"/>
      <c r="V96" s="772"/>
      <c r="W96" s="772"/>
      <c r="X96" s="772"/>
      <c r="Y96" s="927"/>
      <c r="Z96" s="775" t="s">
        <v>2380</v>
      </c>
      <c r="AA96" s="778"/>
      <c r="AB96" s="775"/>
      <c r="AC96" s="775"/>
      <c r="AD96" s="775"/>
    </row>
    <row r="97" spans="1:30" ht="63" customHeight="1">
      <c r="A97" s="774"/>
      <c r="B97" s="827">
        <v>80</v>
      </c>
      <c r="C97" s="772" t="s">
        <v>2381</v>
      </c>
      <c r="D97" s="894"/>
      <c r="E97" s="772"/>
      <c r="F97" s="772"/>
      <c r="G97" s="772"/>
      <c r="H97" s="819"/>
      <c r="I97" s="932" t="str">
        <f t="shared" si="13"/>
        <v>17</v>
      </c>
      <c r="J97" s="932"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2" t="str">
        <f t="shared" si="15"/>
        <v>Регулируемыми организациями указывается информация с по договорам, заключенным в рамках осуществления регулируемой деятельности.</v>
      </c>
      <c r="L97" s="773" t="str">
        <f t="shared" si="16"/>
        <v>17</v>
      </c>
      <c r="M97" s="773"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3" t="str">
        <f t="shared" si="18"/>
        <v>Регулируемыми организациями указывается информация с по договорам, заключенным в рамках осуществления регулируемой деятельности.</v>
      </c>
      <c r="O97" s="884" t="s">
        <v>1673</v>
      </c>
      <c r="P97" s="884"/>
      <c r="Q97" s="884"/>
      <c r="R97" s="884"/>
      <c r="S97" s="884"/>
      <c r="T97" s="772" t="s">
        <v>2382</v>
      </c>
      <c r="U97" s="772"/>
      <c r="V97" s="772"/>
      <c r="W97" s="772"/>
      <c r="X97" s="772"/>
      <c r="Y97" s="927"/>
      <c r="Z97" s="775" t="s">
        <v>2383</v>
      </c>
      <c r="AA97" s="778"/>
      <c r="AB97" s="775"/>
      <c r="AC97" s="775"/>
      <c r="AD97" s="775"/>
    </row>
    <row r="98" spans="1:30" ht="63" customHeight="1">
      <c r="A98" s="774"/>
      <c r="B98" s="827">
        <v>81</v>
      </c>
      <c r="C98" s="772" t="s">
        <v>2384</v>
      </c>
      <c r="D98" s="894"/>
      <c r="E98" s="772"/>
      <c r="F98" s="772"/>
      <c r="G98" s="772"/>
      <c r="H98" s="819"/>
      <c r="I98" s="932" t="str">
        <f t="shared" si="13"/>
        <v>18</v>
      </c>
      <c r="J98" s="932"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2" t="str">
        <f t="shared" si="15"/>
        <v>Регулируемыми организациями указывается информация с по договорам, заключенным в рамках осуществления регулируемой деятельности.</v>
      </c>
      <c r="L98" s="773" t="str">
        <f t="shared" si="16"/>
        <v>18</v>
      </c>
      <c r="M98" s="773"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3" t="str">
        <f t="shared" si="18"/>
        <v>Регулируемыми организациями указывается информация с по договорам, заключенным в рамках осуществления регулируемой деятельности.</v>
      </c>
      <c r="O98" s="884" t="s">
        <v>1687</v>
      </c>
      <c r="P98" s="884"/>
      <c r="Q98" s="884"/>
      <c r="R98" s="884"/>
      <c r="S98" s="884"/>
      <c r="T98" s="772" t="s">
        <v>2385</v>
      </c>
      <c r="U98" s="772"/>
      <c r="V98" s="772"/>
      <c r="W98" s="772"/>
      <c r="X98" s="772"/>
      <c r="Y98" s="927"/>
      <c r="Z98" s="775" t="s">
        <v>2383</v>
      </c>
      <c r="AA98" s="778"/>
      <c r="AB98" s="775"/>
      <c r="AC98" s="775"/>
      <c r="AD98" s="775"/>
    </row>
    <row r="99" spans="1:30" ht="90" customHeight="1">
      <c r="A99" s="774"/>
      <c r="B99" s="827">
        <v>82</v>
      </c>
      <c r="C99" s="772" t="s">
        <v>2386</v>
      </c>
      <c r="D99" s="894"/>
      <c r="E99" s="772"/>
      <c r="F99" s="772"/>
      <c r="G99" s="772"/>
      <c r="H99" s="819"/>
      <c r="I99" s="932" t="str">
        <f t="shared" si="13"/>
        <v>19</v>
      </c>
      <c r="J99" s="932"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2" t="str">
        <f t="shared" si="15"/>
        <v>Указывается ссылка на документ, предварительно загруженный в хранилище файлов ФГИС ЕИАС.</v>
      </c>
      <c r="L99" s="773" t="str">
        <f t="shared" si="16"/>
        <v>19</v>
      </c>
      <c r="M99" s="773"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3" t="str">
        <f t="shared" si="18"/>
        <v>Указывается ссылка на документ, предварительно загруженный в хранилище файлов ФГИС ЕИАС.</v>
      </c>
      <c r="O99" s="884" t="s">
        <v>1699</v>
      </c>
      <c r="P99" s="884"/>
      <c r="Q99" s="884"/>
      <c r="R99" s="884"/>
      <c r="S99" s="884"/>
      <c r="T99" s="772" t="s">
        <v>2387</v>
      </c>
      <c r="U99" s="772"/>
      <c r="V99" s="772"/>
      <c r="W99" s="772"/>
      <c r="X99" s="772"/>
      <c r="Y99" s="927"/>
      <c r="Z99" s="775" t="s">
        <v>777</v>
      </c>
      <c r="AA99" s="778"/>
      <c r="AB99" s="775"/>
      <c r="AC99" s="775"/>
      <c r="AD99" s="775"/>
    </row>
    <row r="100" spans="1:30" ht="27" customHeight="1">
      <c r="A100" s="774"/>
      <c r="B100" s="827">
        <v>83</v>
      </c>
      <c r="C100" s="772"/>
      <c r="D100" s="894"/>
      <c r="E100" s="772"/>
      <c r="F100" s="772"/>
      <c r="G100" s="772"/>
      <c r="H100" s="819"/>
      <c r="I100" s="932" t="str">
        <f t="shared" si="13"/>
        <v>19.1</v>
      </c>
      <c r="J100" s="932" t="str">
        <f t="shared" si="14"/>
        <v>Информация о показателях физического износа объектов теплоснабжения</v>
      </c>
      <c r="K100" s="932" t="str">
        <f t="shared" si="15"/>
        <v>Указывается ссылка на документ, предварительно загруженный в хранилище файлов ФГИС ЕИАС.</v>
      </c>
      <c r="L100" s="773" t="str">
        <f t="shared" si="16"/>
        <v>19.1</v>
      </c>
      <c r="M100" s="773" t="str">
        <f t="shared" si="17"/>
        <v>Информация о показателях физического износа объектов теплоснабжения</v>
      </c>
      <c r="N100" s="773" t="str">
        <f t="shared" si="18"/>
        <v>Указывается ссылка на документ, предварительно загруженный в хранилище файлов ФГИС ЕИАС.</v>
      </c>
      <c r="O100" s="884" t="s">
        <v>2388</v>
      </c>
      <c r="P100" s="884"/>
      <c r="Q100" s="884"/>
      <c r="R100" s="884"/>
      <c r="S100" s="884"/>
      <c r="T100" s="772" t="s">
        <v>2389</v>
      </c>
      <c r="U100" s="772"/>
      <c r="V100" s="772"/>
      <c r="W100" s="772"/>
      <c r="X100" s="772"/>
      <c r="Y100" s="927"/>
      <c r="Z100" s="775" t="s">
        <v>777</v>
      </c>
      <c r="AA100" s="778"/>
      <c r="AB100" s="775"/>
      <c r="AC100" s="775"/>
      <c r="AD100" s="775"/>
    </row>
    <row r="101" spans="1:30" ht="27" customHeight="1">
      <c r="A101" s="774"/>
      <c r="B101" s="827">
        <v>84</v>
      </c>
      <c r="C101" s="772"/>
      <c r="D101" s="894"/>
      <c r="E101" s="772"/>
      <c r="F101" s="772"/>
      <c r="G101" s="772"/>
      <c r="H101" s="819"/>
      <c r="I101" s="932" t="str">
        <f t="shared" si="13"/>
        <v>19.2</v>
      </c>
      <c r="J101" s="932" t="str">
        <f t="shared" si="14"/>
        <v>Информация о показателях энергетической эффективности объектов теплоснабжения</v>
      </c>
      <c r="K101" s="932" t="str">
        <f t="shared" si="15"/>
        <v>Указывается ссылка на документ, предварительно загруженный в хранилище файлов ФГИС ЕИАС.</v>
      </c>
      <c r="L101" s="773" t="str">
        <f t="shared" si="16"/>
        <v>19.2</v>
      </c>
      <c r="M101" s="773" t="str">
        <f t="shared" si="17"/>
        <v>Информация о показателях энергетической эффективности объектов теплоснабжения</v>
      </c>
      <c r="N101" s="773" t="str">
        <f t="shared" si="18"/>
        <v>Указывается ссылка на документ, предварительно загруженный в хранилище файлов ФГИС ЕИАС.</v>
      </c>
      <c r="O101" s="884" t="s">
        <v>2390</v>
      </c>
      <c r="P101" s="884"/>
      <c r="Q101" s="884"/>
      <c r="R101" s="884"/>
      <c r="S101" s="884"/>
      <c r="T101" s="772" t="s">
        <v>2391</v>
      </c>
      <c r="U101" s="772"/>
      <c r="V101" s="772"/>
      <c r="W101" s="772"/>
      <c r="X101" s="772"/>
      <c r="Y101" s="927"/>
      <c r="Z101" s="775" t="s">
        <v>777</v>
      </c>
      <c r="AA101" s="778"/>
      <c r="AB101" s="775"/>
      <c r="AC101" s="775"/>
      <c r="AD101" s="775"/>
    </row>
    <row r="102" spans="1:30" ht="9" customHeight="1">
      <c r="A102" s="774"/>
      <c r="B102" s="774"/>
      <c r="C102" s="772"/>
      <c r="D102" s="772"/>
      <c r="E102" s="772"/>
      <c r="F102" s="772"/>
      <c r="G102" s="772"/>
      <c r="H102" s="819"/>
      <c r="I102" s="819"/>
      <c r="J102" s="819"/>
      <c r="K102" s="819"/>
      <c r="L102" s="819"/>
      <c r="M102" s="772"/>
      <c r="N102" s="818"/>
      <c r="O102" s="884"/>
      <c r="P102" s="884"/>
      <c r="Q102" s="884"/>
      <c r="R102" s="884"/>
      <c r="S102" s="772"/>
      <c r="T102" s="772"/>
      <c r="U102" s="772"/>
      <c r="V102" s="772"/>
      <c r="W102" s="772"/>
      <c r="X102" s="772"/>
      <c r="Y102" s="927"/>
      <c r="Z102" s="775"/>
      <c r="AA102" s="778"/>
      <c r="AB102" s="775"/>
      <c r="AC102" s="775"/>
      <c r="AD102" s="775"/>
    </row>
    <row r="103" spans="1:30" ht="9" customHeight="1">
      <c r="A103" s="774"/>
      <c r="B103" s="774"/>
      <c r="C103" s="772"/>
      <c r="D103" s="772"/>
      <c r="E103" s="772"/>
      <c r="F103" s="772"/>
      <c r="G103" s="772"/>
      <c r="H103" s="819"/>
      <c r="I103" s="819"/>
      <c r="J103" s="819"/>
      <c r="K103" s="819"/>
      <c r="L103" s="819"/>
      <c r="M103" s="772"/>
      <c r="N103" s="818"/>
      <c r="O103" s="884"/>
      <c r="P103" s="884"/>
      <c r="Q103" s="884"/>
      <c r="R103" s="884"/>
      <c r="S103" s="772"/>
      <c r="T103" s="772"/>
      <c r="U103" s="772"/>
      <c r="V103" s="772"/>
      <c r="W103" s="772"/>
      <c r="X103" s="772"/>
      <c r="Y103" s="927"/>
      <c r="Z103" s="775"/>
      <c r="AA103" s="778"/>
      <c r="AB103" s="775"/>
      <c r="AC103" s="775"/>
      <c r="AD103" s="775"/>
    </row>
    <row r="104" spans="1:30" ht="9" customHeight="1">
      <c r="A104" s="774"/>
      <c r="B104" s="774"/>
      <c r="C104" s="772"/>
      <c r="D104" s="772"/>
      <c r="E104" s="772"/>
      <c r="F104" s="772"/>
      <c r="G104" s="772"/>
      <c r="H104" s="819"/>
      <c r="I104" s="819"/>
      <c r="J104" s="819"/>
      <c r="K104" s="819"/>
      <c r="L104" s="819"/>
      <c r="M104" s="772"/>
      <c r="N104" s="818"/>
      <c r="O104" s="884"/>
      <c r="P104" s="884"/>
      <c r="Q104" s="884"/>
      <c r="R104" s="884"/>
      <c r="S104" s="772"/>
      <c r="T104" s="772"/>
      <c r="U104" s="772"/>
      <c r="V104" s="772"/>
      <c r="W104" s="772"/>
      <c r="X104" s="772"/>
      <c r="Y104" s="927"/>
      <c r="Z104" s="775"/>
      <c r="AA104" s="778"/>
      <c r="AB104" s="775"/>
      <c r="AC104" s="775"/>
      <c r="AD104" s="775"/>
    </row>
    <row r="105" spans="1:30" ht="9" customHeight="1">
      <c r="A105" s="774"/>
      <c r="B105" s="774"/>
      <c r="C105" s="772"/>
      <c r="D105" s="772"/>
      <c r="E105" s="772"/>
      <c r="F105" s="772"/>
      <c r="G105" s="772"/>
      <c r="H105" s="819"/>
      <c r="I105" s="819"/>
      <c r="J105" s="819"/>
      <c r="K105" s="819"/>
      <c r="L105" s="819"/>
      <c r="M105" s="772"/>
      <c r="N105" s="818"/>
      <c r="O105" s="884"/>
      <c r="P105" s="884"/>
      <c r="Q105" s="884"/>
      <c r="R105" s="884"/>
      <c r="S105" s="772"/>
      <c r="T105" s="772"/>
      <c r="U105" s="772"/>
      <c r="V105" s="772"/>
      <c r="W105" s="772"/>
      <c r="X105" s="772"/>
      <c r="Y105" s="927"/>
      <c r="Z105" s="775"/>
      <c r="AA105" s="778"/>
      <c r="AB105" s="775"/>
      <c r="AC105" s="775"/>
      <c r="AD105" s="775"/>
    </row>
    <row r="106" spans="1:30" ht="9" customHeight="1">
      <c r="A106" s="774"/>
      <c r="B106" s="774"/>
      <c r="C106" s="772"/>
      <c r="D106" s="772"/>
      <c r="E106" s="772"/>
      <c r="F106" s="772"/>
      <c r="G106" s="772"/>
      <c r="H106" s="819"/>
      <c r="I106" s="819"/>
      <c r="J106" s="819"/>
      <c r="K106" s="819"/>
      <c r="L106" s="819"/>
      <c r="M106" s="772"/>
      <c r="N106" s="818"/>
      <c r="O106" s="884"/>
      <c r="P106" s="884"/>
      <c r="Q106" s="884"/>
      <c r="R106" s="884"/>
      <c r="S106" s="772"/>
      <c r="T106" s="772"/>
      <c r="U106" s="772"/>
      <c r="V106" s="772"/>
      <c r="W106" s="772"/>
      <c r="X106" s="772"/>
      <c r="Y106" s="927"/>
      <c r="Z106" s="775"/>
      <c r="AA106" s="778"/>
      <c r="AB106" s="775"/>
      <c r="AC106" s="775"/>
      <c r="AD106" s="775"/>
    </row>
    <row r="107" spans="1:30" ht="9" customHeight="1">
      <c r="A107" s="774"/>
      <c r="B107" s="774"/>
      <c r="C107" s="772"/>
      <c r="D107" s="772"/>
      <c r="E107" s="772"/>
      <c r="F107" s="772"/>
      <c r="G107" s="772"/>
      <c r="H107" s="819"/>
      <c r="I107" s="819"/>
      <c r="J107" s="819"/>
      <c r="K107" s="819"/>
      <c r="L107" s="819"/>
      <c r="M107" s="772"/>
      <c r="N107" s="818"/>
      <c r="O107" s="884"/>
      <c r="P107" s="884"/>
      <c r="Q107" s="884"/>
      <c r="R107" s="884"/>
      <c r="S107" s="772"/>
      <c r="T107" s="772"/>
      <c r="U107" s="772"/>
      <c r="V107" s="772"/>
      <c r="W107" s="772"/>
      <c r="X107" s="772"/>
      <c r="Y107" s="927"/>
      <c r="Z107" s="775"/>
      <c r="AA107" s="778"/>
      <c r="AB107" s="775"/>
      <c r="AC107" s="775"/>
      <c r="AD107" s="775"/>
    </row>
    <row r="108" spans="1:30" ht="9" customHeight="1">
      <c r="A108" s="774"/>
      <c r="B108" s="774"/>
      <c r="C108" s="772"/>
      <c r="D108" s="772"/>
      <c r="E108" s="772"/>
      <c r="F108" s="772"/>
      <c r="G108" s="772"/>
      <c r="H108" s="819"/>
      <c r="I108" s="819"/>
      <c r="J108" s="819"/>
      <c r="K108" s="819"/>
      <c r="L108" s="819"/>
      <c r="M108" s="772"/>
      <c r="N108" s="818"/>
      <c r="O108" s="884"/>
      <c r="P108" s="884"/>
      <c r="Q108" s="884"/>
      <c r="R108" s="884"/>
      <c r="S108" s="772"/>
      <c r="T108" s="772"/>
      <c r="U108" s="772"/>
      <c r="V108" s="772"/>
      <c r="W108" s="772"/>
      <c r="X108" s="772"/>
      <c r="Y108" s="927"/>
      <c r="Z108" s="775"/>
      <c r="AA108" s="778"/>
      <c r="AB108" s="775"/>
      <c r="AC108" s="775"/>
      <c r="AD108" s="775"/>
    </row>
    <row r="109" spans="1:30" ht="9" customHeight="1">
      <c r="A109" s="774"/>
      <c r="B109" s="774"/>
      <c r="C109" s="772"/>
      <c r="D109" s="772"/>
      <c r="E109" s="772"/>
      <c r="F109" s="772"/>
      <c r="G109" s="772"/>
      <c r="H109" s="819"/>
      <c r="I109" s="819"/>
      <c r="J109" s="819"/>
      <c r="K109" s="819"/>
      <c r="L109" s="819"/>
      <c r="M109" s="772"/>
      <c r="N109" s="818"/>
      <c r="O109" s="884"/>
      <c r="P109" s="884"/>
      <c r="Q109" s="884"/>
      <c r="R109" s="884"/>
      <c r="S109" s="772"/>
      <c r="T109" s="772"/>
      <c r="U109" s="772"/>
      <c r="V109" s="772"/>
      <c r="W109" s="772"/>
      <c r="X109" s="772"/>
      <c r="Y109" s="927"/>
      <c r="Z109" s="775"/>
      <c r="AA109" s="778"/>
      <c r="AB109" s="775"/>
      <c r="AC109" s="775"/>
      <c r="AD109" s="775"/>
    </row>
    <row r="110" spans="1:30" ht="9" customHeight="1">
      <c r="A110" s="774"/>
      <c r="B110" s="774"/>
      <c r="C110" s="772"/>
      <c r="D110" s="772"/>
      <c r="E110" s="772"/>
      <c r="F110" s="772"/>
      <c r="G110" s="772"/>
      <c r="H110" s="819"/>
      <c r="I110" s="819"/>
      <c r="J110" s="819"/>
      <c r="K110" s="819"/>
      <c r="L110" s="819"/>
      <c r="M110" s="772"/>
      <c r="N110" s="818"/>
      <c r="O110" s="884"/>
      <c r="P110" s="884"/>
      <c r="Q110" s="884"/>
      <c r="R110" s="884"/>
      <c r="S110" s="772"/>
      <c r="T110" s="772"/>
      <c r="U110" s="772"/>
      <c r="V110" s="772"/>
      <c r="W110" s="772"/>
      <c r="X110" s="772"/>
      <c r="Y110" s="927"/>
      <c r="Z110" s="775"/>
      <c r="AA110" s="778"/>
      <c r="AB110" s="775"/>
      <c r="AC110" s="775"/>
      <c r="AD110" s="775"/>
    </row>
    <row r="111" spans="1:30" ht="9" customHeight="1">
      <c r="A111" s="774"/>
      <c r="B111" s="774"/>
      <c r="C111" s="772"/>
      <c r="D111" s="772"/>
      <c r="E111" s="772"/>
      <c r="F111" s="772"/>
      <c r="G111" s="772"/>
      <c r="H111" s="819"/>
      <c r="I111" s="819"/>
      <c r="J111" s="819"/>
      <c r="K111" s="819"/>
      <c r="L111" s="819"/>
      <c r="M111" s="772"/>
      <c r="N111" s="818"/>
      <c r="O111" s="884"/>
      <c r="P111" s="884"/>
      <c r="Q111" s="884"/>
      <c r="R111" s="884"/>
      <c r="S111" s="772"/>
      <c r="T111" s="772"/>
      <c r="U111" s="772"/>
      <c r="V111" s="772"/>
      <c r="W111" s="772"/>
      <c r="X111" s="772"/>
      <c r="Y111" s="927"/>
      <c r="Z111" s="775"/>
      <c r="AA111" s="778"/>
      <c r="AB111" s="775"/>
      <c r="AC111" s="775"/>
      <c r="AD111" s="775"/>
    </row>
    <row r="112" spans="1:30" ht="9" customHeight="1">
      <c r="A112" s="774"/>
      <c r="B112" s="774"/>
      <c r="C112" s="772"/>
      <c r="D112" s="772"/>
      <c r="E112" s="772"/>
      <c r="F112" s="772"/>
      <c r="G112" s="772"/>
      <c r="H112" s="819"/>
      <c r="I112" s="819"/>
      <c r="J112" s="819"/>
      <c r="K112" s="819"/>
      <c r="L112" s="819"/>
      <c r="M112" s="772"/>
      <c r="N112" s="818"/>
      <c r="O112" s="884"/>
      <c r="P112" s="884"/>
      <c r="Q112" s="884"/>
      <c r="R112" s="884"/>
      <c r="S112" s="772"/>
      <c r="T112" s="772"/>
      <c r="U112" s="772"/>
      <c r="V112" s="772"/>
      <c r="W112" s="772"/>
      <c r="X112" s="772"/>
      <c r="Y112" s="927"/>
      <c r="Z112" s="775"/>
      <c r="AA112" s="778"/>
      <c r="AB112" s="775"/>
      <c r="AC112" s="775"/>
      <c r="AD112" s="775"/>
    </row>
    <row r="113" spans="1:30" ht="9" customHeight="1">
      <c r="A113" s="774"/>
      <c r="B113" s="774"/>
      <c r="C113" s="772"/>
      <c r="D113" s="772"/>
      <c r="E113" s="772"/>
      <c r="F113" s="772"/>
      <c r="G113" s="772"/>
      <c r="H113" s="819"/>
      <c r="I113" s="819"/>
      <c r="J113" s="819"/>
      <c r="K113" s="819"/>
      <c r="L113" s="819"/>
      <c r="M113" s="772"/>
      <c r="N113" s="818"/>
      <c r="O113" s="884"/>
      <c r="P113" s="884"/>
      <c r="Q113" s="884"/>
      <c r="R113" s="884"/>
      <c r="S113" s="772"/>
      <c r="T113" s="772"/>
      <c r="U113" s="772"/>
      <c r="V113" s="772"/>
      <c r="W113" s="772"/>
      <c r="X113" s="772"/>
      <c r="Y113" s="927"/>
      <c r="Z113" s="775"/>
      <c r="AA113" s="778"/>
      <c r="AB113" s="775"/>
      <c r="AC113" s="775"/>
      <c r="AD113" s="775"/>
    </row>
    <row r="114" spans="1:30" ht="9" customHeight="1">
      <c r="A114" s="774"/>
      <c r="B114" s="774"/>
      <c r="C114" s="772"/>
      <c r="D114" s="772"/>
      <c r="E114" s="772"/>
      <c r="F114" s="772"/>
      <c r="G114" s="772"/>
      <c r="H114" s="819"/>
      <c r="I114" s="819"/>
      <c r="J114" s="819"/>
      <c r="K114" s="819"/>
      <c r="L114" s="819"/>
      <c r="M114" s="772"/>
      <c r="N114" s="818"/>
      <c r="O114" s="884"/>
      <c r="P114" s="884"/>
      <c r="Q114" s="884"/>
      <c r="R114" s="884"/>
      <c r="S114" s="772"/>
      <c r="T114" s="772"/>
      <c r="U114" s="772"/>
      <c r="V114" s="772"/>
      <c r="W114" s="772"/>
      <c r="X114" s="772"/>
      <c r="Y114" s="927"/>
      <c r="Z114" s="775"/>
      <c r="AA114" s="778"/>
      <c r="AB114" s="775"/>
      <c r="AC114" s="775"/>
      <c r="AD114" s="775"/>
    </row>
    <row r="115" spans="1:30" ht="9" customHeight="1">
      <c r="A115" s="774"/>
      <c r="B115" s="774"/>
      <c r="C115" s="772"/>
      <c r="D115" s="772"/>
      <c r="E115" s="772"/>
      <c r="F115" s="772"/>
      <c r="G115" s="772"/>
      <c r="H115" s="819"/>
      <c r="I115" s="819"/>
      <c r="J115" s="819"/>
      <c r="K115" s="819"/>
      <c r="L115" s="819"/>
      <c r="M115" s="772"/>
      <c r="N115" s="818"/>
      <c r="O115" s="884"/>
      <c r="P115" s="884"/>
      <c r="Q115" s="884"/>
      <c r="R115" s="884"/>
      <c r="S115" s="772"/>
      <c r="T115" s="772"/>
      <c r="U115" s="772"/>
      <c r="V115" s="772"/>
      <c r="W115" s="772"/>
      <c r="X115" s="772"/>
      <c r="Y115" s="927"/>
      <c r="Z115" s="775"/>
      <c r="AA115" s="778"/>
      <c r="AB115" s="775"/>
      <c r="AC115" s="775"/>
      <c r="AD115" s="775"/>
    </row>
    <row r="116" spans="1:30" ht="9" customHeight="1">
      <c r="A116" s="774"/>
      <c r="B116" s="774"/>
      <c r="C116" s="772"/>
      <c r="D116" s="772"/>
      <c r="E116" s="772"/>
      <c r="F116" s="772"/>
      <c r="G116" s="772"/>
      <c r="H116" s="819"/>
      <c r="I116" s="819"/>
      <c r="J116" s="819"/>
      <c r="K116" s="819"/>
      <c r="L116" s="819"/>
      <c r="M116" s="772"/>
      <c r="N116" s="818"/>
      <c r="O116" s="884"/>
      <c r="P116" s="884"/>
      <c r="Q116" s="884"/>
      <c r="R116" s="884"/>
      <c r="S116" s="772"/>
      <c r="T116" s="772"/>
      <c r="U116" s="772"/>
      <c r="V116" s="772"/>
      <c r="W116" s="772"/>
      <c r="X116" s="772"/>
      <c r="Y116" s="927"/>
      <c r="Z116" s="775"/>
      <c r="AA116" s="778"/>
      <c r="AB116" s="775"/>
      <c r="AC116" s="775"/>
      <c r="AD116" s="775"/>
    </row>
    <row r="117" spans="1:30" ht="9" customHeight="1">
      <c r="A117" s="774"/>
      <c r="B117" s="774"/>
      <c r="C117" s="772"/>
      <c r="D117" s="772"/>
      <c r="E117" s="772"/>
      <c r="F117" s="772"/>
      <c r="G117" s="772"/>
      <c r="H117" s="819"/>
      <c r="I117" s="819"/>
      <c r="J117" s="819"/>
      <c r="K117" s="819"/>
      <c r="L117" s="819"/>
      <c r="M117" s="772"/>
      <c r="N117" s="818"/>
      <c r="O117" s="884"/>
      <c r="P117" s="884"/>
      <c r="Q117" s="884"/>
      <c r="R117" s="884"/>
      <c r="S117" s="772"/>
      <c r="T117" s="772"/>
      <c r="U117" s="772"/>
      <c r="V117" s="772"/>
      <c r="W117" s="772"/>
      <c r="X117" s="772"/>
      <c r="Y117" s="927"/>
      <c r="Z117" s="775"/>
      <c r="AA117" s="778"/>
      <c r="AB117" s="775"/>
      <c r="AC117" s="775"/>
      <c r="AD117" s="775"/>
    </row>
    <row r="118" spans="1:30" ht="9" customHeight="1">
      <c r="A118" s="774"/>
      <c r="B118" s="774"/>
      <c r="C118" s="772"/>
      <c r="D118" s="772"/>
      <c r="E118" s="772"/>
      <c r="F118" s="772"/>
      <c r="G118" s="772"/>
      <c r="H118" s="819"/>
      <c r="I118" s="819"/>
      <c r="J118" s="819"/>
      <c r="K118" s="819"/>
      <c r="L118" s="819"/>
      <c r="M118" s="772"/>
      <c r="N118" s="818"/>
      <c r="O118" s="884"/>
      <c r="P118" s="884"/>
      <c r="Q118" s="884"/>
      <c r="R118" s="884"/>
      <c r="S118" s="772"/>
      <c r="T118" s="772"/>
      <c r="U118" s="772"/>
      <c r="V118" s="772"/>
      <c r="W118" s="772"/>
      <c r="X118" s="772"/>
      <c r="Y118" s="927"/>
      <c r="Z118" s="775"/>
      <c r="AA118" s="778"/>
      <c r="AB118" s="775"/>
      <c r="AC118" s="775"/>
      <c r="AD118" s="775"/>
    </row>
    <row r="119" spans="1:30" ht="9" customHeight="1">
      <c r="A119" s="774"/>
      <c r="B119" s="774"/>
      <c r="C119" s="772"/>
      <c r="D119" s="772"/>
      <c r="E119" s="772"/>
      <c r="F119" s="772"/>
      <c r="G119" s="772"/>
      <c r="H119" s="819"/>
      <c r="I119" s="819"/>
      <c r="J119" s="819"/>
      <c r="K119" s="819"/>
      <c r="L119" s="819"/>
      <c r="M119" s="772"/>
      <c r="N119" s="818"/>
      <c r="O119" s="884"/>
      <c r="P119" s="884"/>
      <c r="Q119" s="884"/>
      <c r="R119" s="884"/>
      <c r="S119" s="772"/>
      <c r="T119" s="772"/>
      <c r="U119" s="772"/>
      <c r="V119" s="772"/>
      <c r="W119" s="772"/>
      <c r="X119" s="772"/>
      <c r="Y119" s="927"/>
      <c r="Z119" s="775"/>
      <c r="AA119" s="778"/>
      <c r="AB119" s="775"/>
      <c r="AC119" s="775"/>
      <c r="AD119" s="775"/>
    </row>
    <row r="120" spans="1:30" ht="9" customHeight="1">
      <c r="A120" s="774"/>
      <c r="B120" s="774"/>
      <c r="C120" s="772"/>
      <c r="D120" s="772"/>
      <c r="E120" s="772"/>
      <c r="F120" s="772"/>
      <c r="G120" s="772"/>
      <c r="H120" s="819"/>
      <c r="I120" s="819"/>
      <c r="J120" s="819"/>
      <c r="K120" s="819"/>
      <c r="L120" s="819"/>
      <c r="M120" s="772"/>
      <c r="N120" s="818"/>
      <c r="O120" s="884"/>
      <c r="P120" s="884"/>
      <c r="Q120" s="884"/>
      <c r="R120" s="884"/>
      <c r="S120" s="772"/>
      <c r="T120" s="772"/>
      <c r="U120" s="772"/>
      <c r="V120" s="772"/>
      <c r="W120" s="772"/>
      <c r="X120" s="772"/>
      <c r="Y120" s="927"/>
      <c r="Z120" s="775"/>
      <c r="AA120" s="778"/>
      <c r="AB120" s="775"/>
      <c r="AC120" s="775"/>
      <c r="AD120" s="775"/>
    </row>
    <row r="121" spans="1:30" ht="9" customHeight="1">
      <c r="A121" s="774"/>
      <c r="B121" s="774"/>
      <c r="C121" s="772"/>
      <c r="D121" s="772"/>
      <c r="E121" s="772"/>
      <c r="F121" s="772"/>
      <c r="G121" s="772"/>
      <c r="H121" s="819"/>
      <c r="I121" s="819"/>
      <c r="J121" s="819"/>
      <c r="K121" s="819"/>
      <c r="L121" s="819"/>
      <c r="M121" s="772"/>
      <c r="N121" s="818"/>
      <c r="O121" s="884"/>
      <c r="P121" s="884"/>
      <c r="Q121" s="884"/>
      <c r="R121" s="884"/>
      <c r="S121" s="772"/>
      <c r="T121" s="772"/>
      <c r="U121" s="772"/>
      <c r="V121" s="772"/>
      <c r="W121" s="772"/>
      <c r="X121" s="772"/>
      <c r="Y121" s="927"/>
      <c r="Z121" s="775"/>
      <c r="AA121" s="778"/>
      <c r="AB121" s="775"/>
      <c r="AC121" s="775"/>
      <c r="AD121" s="775"/>
    </row>
    <row r="122" spans="1:30" ht="9" customHeight="1">
      <c r="A122" s="774"/>
      <c r="B122" s="774"/>
      <c r="C122" s="772"/>
      <c r="D122" s="772"/>
      <c r="E122" s="772"/>
      <c r="F122" s="772"/>
      <c r="G122" s="772"/>
      <c r="H122" s="819"/>
      <c r="I122" s="819"/>
      <c r="J122" s="819"/>
      <c r="K122" s="819"/>
      <c r="L122" s="819"/>
      <c r="M122" s="772"/>
      <c r="N122" s="818"/>
      <c r="O122" s="884"/>
      <c r="P122" s="884"/>
      <c r="Q122" s="884"/>
      <c r="R122" s="884"/>
      <c r="S122" s="772"/>
      <c r="T122" s="772"/>
      <c r="U122" s="772"/>
      <c r="V122" s="772"/>
      <c r="W122" s="772"/>
      <c r="X122" s="772"/>
      <c r="Y122" s="927"/>
      <c r="Z122" s="775"/>
      <c r="AA122" s="778"/>
      <c r="AB122" s="775"/>
      <c r="AC122" s="775"/>
      <c r="AD122" s="775"/>
    </row>
    <row r="123" spans="1:30" ht="9" customHeight="1">
      <c r="A123" s="774"/>
      <c r="B123" s="774"/>
      <c r="C123" s="772"/>
      <c r="D123" s="772"/>
      <c r="E123" s="772"/>
      <c r="F123" s="772"/>
      <c r="G123" s="772"/>
      <c r="H123" s="819"/>
      <c r="I123" s="819"/>
      <c r="J123" s="819"/>
      <c r="K123" s="819"/>
      <c r="L123" s="819"/>
      <c r="M123" s="772"/>
      <c r="N123" s="818"/>
      <c r="O123" s="884"/>
      <c r="P123" s="884"/>
      <c r="Q123" s="884"/>
      <c r="R123" s="884"/>
      <c r="S123" s="772"/>
      <c r="T123" s="772"/>
      <c r="U123" s="772"/>
      <c r="V123" s="772"/>
      <c r="W123" s="772"/>
      <c r="X123" s="772"/>
      <c r="Y123" s="927"/>
      <c r="Z123" s="775"/>
      <c r="AA123" s="778"/>
      <c r="AB123" s="775"/>
      <c r="AC123" s="775"/>
      <c r="AD123" s="775"/>
    </row>
    <row r="124" spans="1:30" ht="9" customHeight="1">
      <c r="A124" s="774"/>
      <c r="B124" s="774"/>
      <c r="C124" s="772"/>
      <c r="D124" s="772"/>
      <c r="E124" s="772"/>
      <c r="F124" s="772"/>
      <c r="G124" s="772"/>
      <c r="H124" s="819"/>
      <c r="I124" s="819"/>
      <c r="J124" s="819"/>
      <c r="K124" s="819"/>
      <c r="L124" s="819"/>
      <c r="M124" s="772"/>
      <c r="N124" s="818"/>
      <c r="O124" s="884"/>
      <c r="P124" s="884"/>
      <c r="Q124" s="884"/>
      <c r="R124" s="884"/>
      <c r="S124" s="772"/>
      <c r="T124" s="772"/>
      <c r="U124" s="772"/>
      <c r="V124" s="772"/>
      <c r="W124" s="772"/>
      <c r="X124" s="772"/>
      <c r="Y124" s="927"/>
      <c r="Z124" s="775"/>
      <c r="AA124" s="778"/>
      <c r="AB124" s="775"/>
      <c r="AC124" s="775"/>
      <c r="AD124" s="775"/>
    </row>
    <row r="125" spans="1:30" ht="9" customHeight="1">
      <c r="A125" s="774"/>
      <c r="B125" s="774"/>
      <c r="C125" s="772"/>
      <c r="D125" s="772"/>
      <c r="E125" s="772"/>
      <c r="F125" s="772"/>
      <c r="G125" s="772"/>
      <c r="H125" s="819"/>
      <c r="I125" s="819"/>
      <c r="J125" s="819"/>
      <c r="K125" s="819"/>
      <c r="L125" s="819"/>
      <c r="M125" s="772"/>
      <c r="N125" s="818"/>
      <c r="O125" s="884"/>
      <c r="P125" s="884"/>
      <c r="Q125" s="884"/>
      <c r="R125" s="884"/>
      <c r="S125" s="772"/>
      <c r="T125" s="772"/>
      <c r="U125" s="772"/>
      <c r="V125" s="772"/>
      <c r="W125" s="772"/>
      <c r="X125" s="772"/>
      <c r="Y125" s="927"/>
      <c r="Z125" s="775"/>
      <c r="AA125" s="778"/>
      <c r="AB125" s="775"/>
      <c r="AC125" s="775"/>
      <c r="AD125" s="775"/>
    </row>
    <row r="126" spans="1:30" ht="9" customHeight="1">
      <c r="A126" s="774"/>
      <c r="B126" s="774"/>
      <c r="C126" s="772"/>
      <c r="D126" s="772"/>
      <c r="E126" s="772"/>
      <c r="F126" s="772"/>
      <c r="G126" s="772"/>
      <c r="H126" s="819"/>
      <c r="I126" s="819"/>
      <c r="J126" s="819"/>
      <c r="K126" s="819"/>
      <c r="L126" s="819"/>
      <c r="M126" s="772"/>
      <c r="N126" s="818"/>
      <c r="O126" s="884"/>
      <c r="P126" s="884"/>
      <c r="Q126" s="884"/>
      <c r="R126" s="884"/>
      <c r="S126" s="772"/>
      <c r="T126" s="772"/>
      <c r="U126" s="772"/>
      <c r="V126" s="772"/>
      <c r="W126" s="772"/>
      <c r="X126" s="772"/>
      <c r="Y126" s="927"/>
      <c r="Z126" s="775"/>
      <c r="AA126" s="778"/>
      <c r="AB126" s="775"/>
      <c r="AC126" s="775"/>
      <c r="AD126" s="775"/>
    </row>
    <row r="127" spans="1:30" ht="9" customHeight="1">
      <c r="A127" s="774"/>
      <c r="B127" s="774"/>
      <c r="C127" s="772"/>
      <c r="D127" s="772"/>
      <c r="E127" s="772"/>
      <c r="F127" s="772"/>
      <c r="G127" s="772"/>
      <c r="H127" s="819"/>
      <c r="I127" s="819"/>
      <c r="J127" s="819"/>
      <c r="K127" s="819"/>
      <c r="L127" s="819"/>
      <c r="M127" s="772"/>
      <c r="N127" s="818"/>
      <c r="O127" s="884"/>
      <c r="P127" s="884"/>
      <c r="Q127" s="884"/>
      <c r="R127" s="884"/>
      <c r="S127" s="772"/>
      <c r="T127" s="772"/>
      <c r="U127" s="772"/>
      <c r="V127" s="772"/>
      <c r="W127" s="772"/>
      <c r="X127" s="772"/>
      <c r="Y127" s="927"/>
      <c r="Z127" s="775"/>
      <c r="AA127" s="778"/>
      <c r="AB127" s="775"/>
      <c r="AC127" s="775"/>
      <c r="AD127" s="775"/>
    </row>
    <row r="128" spans="1:30" ht="9" customHeight="1">
      <c r="A128" s="774"/>
      <c r="B128" s="774"/>
      <c r="C128" s="772"/>
      <c r="D128" s="772"/>
      <c r="E128" s="772"/>
      <c r="F128" s="772"/>
      <c r="G128" s="772"/>
      <c r="H128" s="819"/>
      <c r="I128" s="819"/>
      <c r="J128" s="819"/>
      <c r="K128" s="819"/>
      <c r="L128" s="819"/>
      <c r="M128" s="772"/>
      <c r="N128" s="818"/>
      <c r="O128" s="884"/>
      <c r="P128" s="884"/>
      <c r="Q128" s="884"/>
      <c r="R128" s="884"/>
      <c r="S128" s="772"/>
      <c r="T128" s="772"/>
      <c r="U128" s="772"/>
      <c r="V128" s="772"/>
      <c r="W128" s="772"/>
      <c r="X128" s="772"/>
      <c r="Y128" s="927"/>
      <c r="Z128" s="775"/>
      <c r="AA128" s="778"/>
      <c r="AB128" s="775"/>
      <c r="AC128" s="775"/>
      <c r="AD128" s="775"/>
    </row>
    <row r="129" spans="1:30" ht="9" customHeight="1">
      <c r="A129" s="774"/>
      <c r="B129" s="774"/>
      <c r="C129" s="772"/>
      <c r="D129" s="772"/>
      <c r="E129" s="772"/>
      <c r="F129" s="772"/>
      <c r="G129" s="772"/>
      <c r="H129" s="819"/>
      <c r="I129" s="819"/>
      <c r="J129" s="819"/>
      <c r="K129" s="819"/>
      <c r="L129" s="819"/>
      <c r="M129" s="772"/>
      <c r="N129" s="818"/>
      <c r="O129" s="884"/>
      <c r="P129" s="884"/>
      <c r="Q129" s="884"/>
      <c r="R129" s="884"/>
      <c r="S129" s="772"/>
      <c r="T129" s="772"/>
      <c r="U129" s="772"/>
      <c r="V129" s="772"/>
      <c r="W129" s="772"/>
      <c r="X129" s="772"/>
      <c r="Y129" s="927"/>
      <c r="Z129" s="775"/>
      <c r="AA129" s="778"/>
      <c r="AB129" s="775"/>
      <c r="AC129" s="775"/>
      <c r="AD129" s="775"/>
    </row>
    <row r="130" spans="1:30" ht="9" customHeight="1">
      <c r="A130" s="774"/>
      <c r="B130" s="774"/>
      <c r="C130" s="772"/>
      <c r="D130" s="772"/>
      <c r="E130" s="772"/>
      <c r="F130" s="772"/>
      <c r="G130" s="772"/>
      <c r="H130" s="819"/>
      <c r="I130" s="819"/>
      <c r="J130" s="819"/>
      <c r="K130" s="819"/>
      <c r="L130" s="819"/>
      <c r="M130" s="772"/>
      <c r="N130" s="818"/>
      <c r="O130" s="886"/>
      <c r="P130" s="886"/>
      <c r="Q130" s="886"/>
      <c r="R130" s="886"/>
      <c r="S130" s="772"/>
      <c r="T130" s="772"/>
      <c r="U130" s="772"/>
      <c r="V130" s="772"/>
      <c r="W130" s="772"/>
      <c r="X130" s="772"/>
      <c r="Y130" s="927"/>
      <c r="Z130" s="775"/>
      <c r="AA130" s="778"/>
      <c r="AB130" s="775"/>
      <c r="AC130" s="775"/>
      <c r="AD130" s="775"/>
    </row>
    <row r="131" spans="1:30" ht="9" customHeight="1">
      <c r="A131" s="774"/>
      <c r="B131" s="774"/>
      <c r="C131" s="772"/>
      <c r="D131" s="772"/>
      <c r="E131" s="772"/>
      <c r="F131" s="772"/>
      <c r="G131" s="772"/>
      <c r="H131" s="819"/>
      <c r="I131" s="819"/>
      <c r="J131" s="819"/>
      <c r="K131" s="819"/>
      <c r="L131" s="819"/>
      <c r="M131" s="772"/>
      <c r="N131" s="818"/>
      <c r="O131" s="887"/>
      <c r="P131" s="887"/>
      <c r="Q131" s="887"/>
      <c r="R131" s="887"/>
      <c r="S131" s="772"/>
      <c r="T131" s="772"/>
      <c r="U131" s="772"/>
      <c r="V131" s="772"/>
      <c r="W131" s="772"/>
      <c r="X131" s="772"/>
      <c r="Y131" s="927"/>
      <c r="Z131" s="775"/>
      <c r="AA131" s="778"/>
      <c r="AB131" s="775"/>
      <c r="AC131" s="775"/>
      <c r="AD131" s="775"/>
    </row>
    <row r="132" spans="1:30" ht="9" customHeight="1">
      <c r="A132" s="774"/>
      <c r="B132" s="774"/>
      <c r="C132" s="772"/>
      <c r="D132" s="772"/>
      <c r="E132" s="772"/>
      <c r="F132" s="772"/>
      <c r="G132" s="772"/>
      <c r="H132" s="819"/>
      <c r="I132" s="819"/>
      <c r="J132" s="819"/>
      <c r="K132" s="819"/>
      <c r="L132" s="819"/>
      <c r="M132" s="772"/>
      <c r="N132" s="818"/>
      <c r="O132" s="886"/>
      <c r="P132" s="886"/>
      <c r="Q132" s="886"/>
      <c r="R132" s="886"/>
      <c r="S132" s="772"/>
      <c r="T132" s="772"/>
      <c r="U132" s="772"/>
      <c r="V132" s="772"/>
      <c r="W132" s="772"/>
      <c r="X132" s="772"/>
      <c r="Y132" s="927"/>
      <c r="Z132" s="775"/>
      <c r="AA132" s="778"/>
      <c r="AB132" s="775"/>
      <c r="AC132" s="775"/>
      <c r="AD132" s="775"/>
    </row>
    <row r="133" spans="1:30" ht="9" customHeight="1">
      <c r="A133" s="774"/>
      <c r="B133" s="774"/>
      <c r="C133" s="772"/>
      <c r="D133" s="772"/>
      <c r="E133" s="772"/>
      <c r="F133" s="772"/>
      <c r="G133" s="772"/>
      <c r="H133" s="819"/>
      <c r="I133" s="819"/>
      <c r="J133" s="819"/>
      <c r="K133" s="819"/>
      <c r="L133" s="819"/>
      <c r="M133" s="772"/>
      <c r="N133" s="818"/>
      <c r="O133" s="887"/>
      <c r="P133" s="887"/>
      <c r="Q133" s="887"/>
      <c r="R133" s="887"/>
      <c r="S133" s="772"/>
      <c r="T133" s="772"/>
      <c r="U133" s="772"/>
      <c r="V133" s="772"/>
      <c r="W133" s="772"/>
      <c r="X133" s="772"/>
      <c r="Y133" s="927"/>
      <c r="Z133" s="775"/>
      <c r="AA133" s="778"/>
      <c r="AB133" s="775"/>
      <c r="AC133" s="775"/>
      <c r="AD133" s="775"/>
    </row>
    <row r="134" spans="1:30" ht="9" customHeight="1">
      <c r="A134" s="774"/>
      <c r="B134" s="774"/>
      <c r="C134" s="772"/>
      <c r="D134" s="772"/>
      <c r="E134" s="772"/>
      <c r="F134" s="772"/>
      <c r="G134" s="772"/>
      <c r="H134" s="819"/>
      <c r="I134" s="819"/>
      <c r="J134" s="819"/>
      <c r="K134" s="819"/>
      <c r="L134" s="819"/>
      <c r="M134" s="772"/>
      <c r="N134" s="818"/>
      <c r="O134" s="884"/>
      <c r="P134" s="884"/>
      <c r="Q134" s="884"/>
      <c r="R134" s="884"/>
      <c r="S134" s="772"/>
      <c r="T134" s="772"/>
      <c r="U134" s="772"/>
      <c r="V134" s="772"/>
      <c r="W134" s="772"/>
      <c r="X134" s="772"/>
      <c r="Y134" s="927"/>
      <c r="Z134" s="775"/>
      <c r="AA134" s="778"/>
      <c r="AB134" s="775"/>
      <c r="AC134" s="775"/>
      <c r="AD134" s="775"/>
    </row>
    <row r="135" spans="1:30" ht="9" customHeight="1">
      <c r="A135" s="774"/>
      <c r="B135" s="774"/>
      <c r="C135" s="772"/>
      <c r="D135" s="772"/>
      <c r="E135" s="772"/>
      <c r="F135" s="772"/>
      <c r="G135" s="772"/>
      <c r="H135" s="819"/>
      <c r="I135" s="819"/>
      <c r="J135" s="819"/>
      <c r="K135" s="819"/>
      <c r="L135" s="819"/>
      <c r="M135" s="772"/>
      <c r="N135" s="818"/>
      <c r="O135" s="884"/>
      <c r="P135" s="884"/>
      <c r="Q135" s="884"/>
      <c r="R135" s="884"/>
      <c r="S135" s="772"/>
      <c r="T135" s="772"/>
      <c r="U135" s="772"/>
      <c r="V135" s="772"/>
      <c r="W135" s="772"/>
      <c r="X135" s="772"/>
      <c r="Y135" s="927"/>
      <c r="Z135" s="775"/>
      <c r="AA135" s="778"/>
      <c r="AB135" s="775"/>
      <c r="AC135" s="775"/>
      <c r="AD135" s="775"/>
    </row>
    <row r="136" spans="1:30" ht="9" customHeight="1">
      <c r="A136" s="774"/>
      <c r="B136" s="774"/>
      <c r="C136" s="772"/>
      <c r="D136" s="772"/>
      <c r="E136" s="772"/>
      <c r="F136" s="772"/>
      <c r="G136" s="772"/>
      <c r="H136" s="819"/>
      <c r="I136" s="819"/>
      <c r="J136" s="819"/>
      <c r="K136" s="819"/>
      <c r="L136" s="819"/>
      <c r="M136" s="772"/>
      <c r="N136" s="818"/>
      <c r="O136" s="884"/>
      <c r="P136" s="884"/>
      <c r="Q136" s="884"/>
      <c r="R136" s="884"/>
      <c r="S136" s="772"/>
      <c r="T136" s="772"/>
      <c r="U136" s="772"/>
      <c r="V136" s="772"/>
      <c r="W136" s="772"/>
      <c r="X136" s="772"/>
      <c r="Y136" s="927"/>
      <c r="Z136" s="775"/>
      <c r="AA136" s="778"/>
      <c r="AB136" s="775"/>
      <c r="AC136" s="775"/>
      <c r="AD136" s="775"/>
    </row>
    <row r="137" spans="1:30" ht="9" customHeight="1">
      <c r="A137" s="774"/>
      <c r="B137" s="774"/>
      <c r="C137" s="772"/>
      <c r="D137" s="772"/>
      <c r="E137" s="772"/>
      <c r="F137" s="772"/>
      <c r="G137" s="772"/>
      <c r="H137" s="819"/>
      <c r="I137" s="819"/>
      <c r="J137" s="819"/>
      <c r="K137" s="819"/>
      <c r="L137" s="819"/>
      <c r="M137" s="772"/>
      <c r="N137" s="818"/>
      <c r="O137" s="888"/>
      <c r="P137" s="888"/>
      <c r="Q137" s="888"/>
      <c r="R137" s="888"/>
      <c r="S137" s="772"/>
      <c r="T137" s="772"/>
      <c r="U137" s="772"/>
      <c r="V137" s="772"/>
      <c r="W137" s="772"/>
      <c r="X137" s="772"/>
      <c r="Y137" s="927"/>
      <c r="Z137" s="775"/>
      <c r="AA137" s="778"/>
      <c r="AB137" s="775"/>
      <c r="AC137" s="775"/>
      <c r="AD137" s="775"/>
    </row>
    <row r="138" spans="1:30" ht="9" customHeight="1">
      <c r="A138" s="774"/>
      <c r="B138" s="774"/>
      <c r="C138" s="772"/>
      <c r="D138" s="772"/>
      <c r="E138" s="772"/>
      <c r="F138" s="772"/>
      <c r="G138" s="772"/>
      <c r="H138" s="819"/>
      <c r="I138" s="819"/>
      <c r="J138" s="819"/>
      <c r="K138" s="819"/>
      <c r="L138" s="819"/>
      <c r="M138" s="772"/>
      <c r="N138" s="818"/>
      <c r="O138" s="885"/>
      <c r="P138" s="885"/>
      <c r="Q138" s="885"/>
      <c r="R138" s="885"/>
      <c r="S138" s="772"/>
      <c r="T138" s="772"/>
      <c r="U138" s="772"/>
      <c r="V138" s="772"/>
      <c r="W138" s="772"/>
      <c r="X138" s="772"/>
      <c r="Y138" s="927"/>
      <c r="Z138" s="775"/>
      <c r="AA138" s="778"/>
      <c r="AB138" s="775"/>
      <c r="AC138" s="775"/>
      <c r="AD138" s="775"/>
    </row>
    <row r="139" spans="1:30" ht="9" customHeight="1">
      <c r="A139" s="774"/>
      <c r="B139" s="774"/>
      <c r="C139" s="772"/>
      <c r="D139" s="772"/>
      <c r="E139" s="772"/>
      <c r="F139" s="772"/>
      <c r="G139" s="772"/>
      <c r="H139" s="819"/>
      <c r="I139" s="819"/>
      <c r="J139" s="819"/>
      <c r="K139" s="819"/>
      <c r="L139" s="819"/>
      <c r="M139" s="772"/>
      <c r="N139" s="818"/>
      <c r="O139" s="772"/>
      <c r="P139" s="772"/>
      <c r="Q139" s="772"/>
      <c r="R139" s="772"/>
      <c r="S139" s="772"/>
      <c r="T139" s="772"/>
      <c r="U139" s="772"/>
      <c r="V139" s="772"/>
      <c r="W139" s="772"/>
      <c r="X139" s="772"/>
      <c r="Y139" s="927"/>
      <c r="Z139" s="775"/>
      <c r="AA139" s="778"/>
      <c r="AB139" s="775"/>
      <c r="AC139" s="775"/>
      <c r="AD139" s="775"/>
    </row>
    <row r="140" spans="1:30" ht="9" customHeight="1">
      <c r="A140" s="774"/>
      <c r="B140" s="774"/>
      <c r="C140" s="772"/>
      <c r="D140" s="772"/>
      <c r="E140" s="772"/>
      <c r="F140" s="772"/>
      <c r="G140" s="772"/>
      <c r="H140" s="819"/>
      <c r="I140" s="819"/>
      <c r="J140" s="819"/>
      <c r="K140" s="819"/>
      <c r="L140" s="819"/>
      <c r="M140" s="772"/>
      <c r="N140" s="818"/>
      <c r="O140" s="772"/>
      <c r="P140" s="772"/>
      <c r="Q140" s="772"/>
      <c r="R140" s="772"/>
      <c r="S140" s="772"/>
      <c r="T140" s="772"/>
      <c r="U140" s="772"/>
      <c r="V140" s="772"/>
      <c r="W140" s="772"/>
      <c r="X140" s="772"/>
      <c r="Y140" s="927"/>
      <c r="Z140" s="775"/>
      <c r="AA140" s="778"/>
      <c r="AB140" s="775"/>
      <c r="AC140" s="775"/>
      <c r="AD140" s="775"/>
    </row>
    <row r="141" spans="1:30" ht="9" customHeight="1">
      <c r="A141" s="774"/>
      <c r="B141" s="774"/>
      <c r="C141" s="772"/>
      <c r="D141" s="772"/>
      <c r="E141" s="772"/>
      <c r="F141" s="772"/>
      <c r="G141" s="772"/>
      <c r="H141" s="819"/>
      <c r="I141" s="819"/>
      <c r="J141" s="819"/>
      <c r="K141" s="819"/>
      <c r="L141" s="819"/>
      <c r="M141" s="772"/>
      <c r="N141" s="818"/>
      <c r="O141" s="772"/>
      <c r="P141" s="772"/>
      <c r="Q141" s="772"/>
      <c r="R141" s="772"/>
      <c r="S141" s="772"/>
      <c r="T141" s="772"/>
      <c r="U141" s="772"/>
      <c r="V141" s="772"/>
      <c r="W141" s="772"/>
      <c r="X141" s="772"/>
      <c r="Y141" s="927"/>
      <c r="Z141" s="775"/>
      <c r="AA141" s="778"/>
      <c r="AB141" s="775"/>
      <c r="AC141" s="775"/>
      <c r="AD141" s="775"/>
    </row>
    <row r="142" spans="1:30" ht="9" customHeight="1">
      <c r="A142" s="774"/>
      <c r="B142" s="774"/>
      <c r="C142" s="772"/>
      <c r="D142" s="772"/>
      <c r="E142" s="772"/>
      <c r="F142" s="772"/>
      <c r="G142" s="772"/>
      <c r="H142" s="819"/>
      <c r="I142" s="819"/>
      <c r="J142" s="819"/>
      <c r="K142" s="819"/>
      <c r="L142" s="819"/>
      <c r="M142" s="772"/>
      <c r="N142" s="818"/>
      <c r="O142" s="772"/>
      <c r="P142" s="772"/>
      <c r="Q142" s="772"/>
      <c r="R142" s="772"/>
      <c r="S142" s="772"/>
      <c r="T142" s="772"/>
      <c r="U142" s="772"/>
      <c r="V142" s="772"/>
      <c r="W142" s="772"/>
      <c r="X142" s="772"/>
      <c r="Y142" s="927"/>
      <c r="Z142" s="775"/>
      <c r="AA142" s="778"/>
      <c r="AB142" s="775"/>
      <c r="AC142" s="775"/>
      <c r="AD142" s="775"/>
    </row>
    <row r="143" spans="1:30" ht="9" customHeight="1">
      <c r="A143" s="774"/>
      <c r="B143" s="774"/>
      <c r="C143" s="772"/>
      <c r="D143" s="772"/>
      <c r="E143" s="772"/>
      <c r="F143" s="772"/>
      <c r="G143" s="772"/>
      <c r="H143" s="819"/>
      <c r="I143" s="819"/>
      <c r="J143" s="819"/>
      <c r="K143" s="819"/>
      <c r="L143" s="819"/>
      <c r="M143" s="772"/>
      <c r="N143" s="818"/>
      <c r="O143" s="772"/>
      <c r="P143" s="772"/>
      <c r="Q143" s="772"/>
      <c r="R143" s="772"/>
      <c r="S143" s="772"/>
      <c r="T143" s="772"/>
      <c r="U143" s="772"/>
      <c r="V143" s="772"/>
      <c r="W143" s="772"/>
      <c r="X143" s="772"/>
      <c r="Y143" s="927"/>
      <c r="Z143" s="775"/>
      <c r="AA143" s="778"/>
      <c r="AB143" s="775"/>
      <c r="AC143" s="775"/>
      <c r="AD143" s="775"/>
    </row>
    <row r="144" spans="1:30" ht="9" customHeight="1">
      <c r="A144" s="774"/>
      <c r="B144" s="774"/>
      <c r="C144" s="772"/>
      <c r="D144" s="772"/>
      <c r="E144" s="772"/>
      <c r="F144" s="772"/>
      <c r="G144" s="772"/>
      <c r="H144" s="819"/>
      <c r="I144" s="819"/>
      <c r="J144" s="819"/>
      <c r="K144" s="819"/>
      <c r="L144" s="819"/>
      <c r="M144" s="772"/>
      <c r="N144" s="818"/>
      <c r="O144" s="772"/>
      <c r="P144" s="772"/>
      <c r="Q144" s="772"/>
      <c r="R144" s="772"/>
      <c r="S144" s="772"/>
      <c r="T144" s="772"/>
      <c r="U144" s="772"/>
      <c r="V144" s="772"/>
      <c r="W144" s="772"/>
      <c r="X144" s="772"/>
      <c r="Y144" s="927"/>
      <c r="Z144" s="775"/>
      <c r="AA144" s="778"/>
      <c r="AB144" s="775"/>
      <c r="AC144" s="775"/>
      <c r="AD144" s="775"/>
    </row>
    <row r="145" spans="1:30" ht="9" customHeight="1">
      <c r="A145" s="774"/>
      <c r="B145" s="774"/>
      <c r="C145" s="772"/>
      <c r="D145" s="772"/>
      <c r="E145" s="772"/>
      <c r="F145" s="772"/>
      <c r="G145" s="772"/>
      <c r="H145" s="819"/>
      <c r="I145" s="819"/>
      <c r="J145" s="819"/>
      <c r="K145" s="819"/>
      <c r="L145" s="819"/>
      <c r="M145" s="772"/>
      <c r="N145" s="818"/>
      <c r="O145" s="772"/>
      <c r="P145" s="772"/>
      <c r="Q145" s="772"/>
      <c r="R145" s="772"/>
      <c r="S145" s="772"/>
      <c r="T145" s="772"/>
      <c r="U145" s="772"/>
      <c r="V145" s="772"/>
      <c r="W145" s="772"/>
      <c r="X145" s="772"/>
      <c r="Y145" s="927"/>
      <c r="Z145" s="775"/>
      <c r="AA145" s="778"/>
      <c r="AB145" s="775"/>
      <c r="AC145" s="775"/>
      <c r="AD145" s="775"/>
    </row>
    <row r="146" spans="1:30" ht="9" customHeight="1">
      <c r="A146" s="774"/>
      <c r="B146" s="774"/>
      <c r="C146" s="772"/>
      <c r="D146" s="772"/>
      <c r="E146" s="772"/>
      <c r="F146" s="772"/>
      <c r="G146" s="772"/>
      <c r="H146" s="819"/>
      <c r="I146" s="819"/>
      <c r="J146" s="819"/>
      <c r="K146" s="819"/>
      <c r="L146" s="819"/>
      <c r="M146" s="772"/>
      <c r="N146" s="818"/>
      <c r="O146" s="772"/>
      <c r="P146" s="772"/>
      <c r="Q146" s="772"/>
      <c r="R146" s="772"/>
      <c r="S146" s="772"/>
      <c r="T146" s="772"/>
      <c r="U146" s="772"/>
      <c r="V146" s="772"/>
      <c r="W146" s="772"/>
      <c r="X146" s="772"/>
      <c r="Y146" s="927"/>
      <c r="Z146" s="775"/>
      <c r="AA146" s="778"/>
      <c r="AB146" s="775"/>
      <c r="AC146" s="775"/>
      <c r="AD146" s="775"/>
    </row>
    <row r="147" spans="1:30" ht="9" customHeight="1">
      <c r="A147" s="774"/>
      <c r="B147" s="774"/>
      <c r="C147" s="774"/>
      <c r="D147" s="774"/>
      <c r="E147" s="774"/>
      <c r="F147" s="774"/>
      <c r="G147" s="774"/>
      <c r="H147" s="774"/>
      <c r="I147" s="774"/>
      <c r="J147" s="774"/>
      <c r="K147" s="774"/>
      <c r="L147" s="774"/>
      <c r="M147" s="774"/>
      <c r="N147" s="774"/>
      <c r="O147" s="774"/>
      <c r="P147" s="774"/>
      <c r="Q147" s="774"/>
      <c r="R147" s="774"/>
      <c r="S147" s="774"/>
      <c r="T147" s="774"/>
      <c r="U147" s="774"/>
      <c r="V147" s="774"/>
      <c r="W147" s="774"/>
      <c r="X147" s="774"/>
      <c r="Y147" s="774"/>
      <c r="Z147" s="774"/>
      <c r="AA147" s="774"/>
      <c r="AB147" s="774"/>
      <c r="AC147" s="774"/>
      <c r="AD147" s="774"/>
    </row>
    <row r="148" spans="1:30" ht="90" customHeight="1">
      <c r="A148" s="774" t="s">
        <v>1852</v>
      </c>
      <c r="B148" s="774"/>
      <c r="C148" s="772" t="s">
        <v>2392</v>
      </c>
      <c r="D148" s="772" t="s">
        <v>1754</v>
      </c>
      <c r="E148" s="772" t="s">
        <v>1854</v>
      </c>
      <c r="F148" s="772" t="s">
        <v>2393</v>
      </c>
      <c r="G148" s="772"/>
      <c r="H148" s="772"/>
      <c r="I148" s="890"/>
      <c r="J148" s="890"/>
      <c r="K148" s="890"/>
      <c r="L148" s="890"/>
      <c r="M148" s="821"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7"/>
      <c r="O148" s="772"/>
      <c r="P148" s="773"/>
      <c r="Q148" s="773"/>
      <c r="R148" s="773"/>
      <c r="S148" s="772"/>
      <c r="T148" s="772" t="s">
        <v>2394</v>
      </c>
      <c r="U148" s="773"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3"/>
      <c r="W148" s="773"/>
      <c r="X148" s="772" t="s">
        <v>2395</v>
      </c>
      <c r="Y148" s="927"/>
      <c r="Z148" s="775"/>
      <c r="AA148" s="778"/>
      <c r="AB148" s="775"/>
      <c r="AC148" s="775"/>
      <c r="AD148" s="775"/>
    </row>
    <row r="149" spans="1:30" ht="9" customHeight="1">
      <c r="A149" s="774"/>
      <c r="B149" s="774"/>
      <c r="C149" s="774"/>
      <c r="D149" s="774"/>
      <c r="E149" s="774"/>
      <c r="F149" s="774"/>
      <c r="G149" s="774"/>
      <c r="H149" s="774"/>
      <c r="I149" s="774"/>
      <c r="J149" s="774"/>
      <c r="K149" s="774"/>
      <c r="L149" s="774"/>
      <c r="M149" s="774"/>
      <c r="N149" s="774"/>
      <c r="O149" s="774"/>
      <c r="P149" s="774"/>
      <c r="Q149" s="774"/>
      <c r="R149" s="774"/>
      <c r="S149" s="774"/>
      <c r="T149" s="774"/>
      <c r="U149" s="774"/>
      <c r="V149" s="774"/>
      <c r="W149" s="774"/>
      <c r="X149" s="774"/>
      <c r="Y149" s="774"/>
      <c r="Z149" s="774"/>
      <c r="AA149" s="774"/>
      <c r="AB149" s="774"/>
      <c r="AC149" s="774"/>
      <c r="AD149" s="774"/>
    </row>
    <row r="150" spans="1:30" ht="9" customHeight="1">
      <c r="A150" s="774" t="s">
        <v>1856</v>
      </c>
      <c r="B150" s="774"/>
      <c r="C150" s="772"/>
      <c r="D150" s="772"/>
      <c r="E150" s="772"/>
      <c r="F150" s="772"/>
      <c r="G150" s="772"/>
      <c r="H150" s="772"/>
      <c r="I150" s="772"/>
      <c r="J150" s="772"/>
      <c r="K150" s="772"/>
      <c r="L150" s="772"/>
      <c r="M150" s="772"/>
      <c r="N150" s="772"/>
      <c r="O150" s="772"/>
      <c r="P150" s="772"/>
      <c r="Q150" s="772"/>
      <c r="R150" s="772"/>
      <c r="S150" s="772"/>
      <c r="T150" s="772"/>
      <c r="U150" s="772"/>
      <c r="V150" s="772"/>
      <c r="W150" s="772"/>
      <c r="X150" s="772"/>
      <c r="Y150" s="927"/>
      <c r="Z150" s="775"/>
      <c r="AA150" s="778"/>
      <c r="AB150" s="775"/>
      <c r="AC150" s="775"/>
      <c r="AD150" s="775"/>
    </row>
    <row r="151" spans="1:30" ht="9" customHeight="1">
      <c r="A151" s="774"/>
      <c r="B151" s="774"/>
      <c r="C151" s="774"/>
      <c r="D151" s="774"/>
      <c r="E151" s="774"/>
      <c r="F151" s="774"/>
      <c r="G151" s="774"/>
      <c r="H151" s="774"/>
      <c r="I151" s="774"/>
      <c r="J151" s="774"/>
      <c r="K151" s="774"/>
      <c r="L151" s="774"/>
      <c r="M151" s="774"/>
      <c r="N151" s="774"/>
      <c r="O151" s="774"/>
      <c r="P151" s="774"/>
      <c r="Q151" s="774"/>
      <c r="R151" s="774"/>
      <c r="S151" s="774"/>
      <c r="T151" s="774"/>
      <c r="U151" s="774"/>
      <c r="V151" s="774"/>
      <c r="W151" s="774"/>
      <c r="X151" s="774"/>
      <c r="Y151" s="774"/>
      <c r="Z151" s="774"/>
      <c r="AA151" s="774"/>
      <c r="AB151" s="774"/>
      <c r="AC151" s="774"/>
      <c r="AD151" s="774"/>
    </row>
    <row r="152" spans="1:30" ht="9" customHeight="1">
      <c r="A152" s="774" t="s">
        <v>1859</v>
      </c>
      <c r="B152" s="774"/>
      <c r="C152" s="772"/>
      <c r="D152" s="772"/>
      <c r="E152" s="772"/>
      <c r="F152" s="772"/>
      <c r="G152" s="772"/>
      <c r="H152" s="772"/>
      <c r="I152" s="772"/>
      <c r="J152" s="772"/>
      <c r="K152" s="772"/>
      <c r="L152" s="772"/>
      <c r="M152" s="772"/>
      <c r="N152" s="772"/>
      <c r="O152" s="772"/>
      <c r="P152" s="772"/>
      <c r="Q152" s="772"/>
      <c r="R152" s="772"/>
      <c r="S152" s="772"/>
      <c r="T152" s="772"/>
      <c r="U152" s="772"/>
      <c r="V152" s="772"/>
      <c r="W152" s="772"/>
      <c r="X152" s="772"/>
      <c r="Y152" s="927"/>
      <c r="Z152" s="775"/>
      <c r="AA152" s="778"/>
      <c r="AB152" s="775"/>
      <c r="AC152" s="775"/>
      <c r="AD152" s="775"/>
    </row>
    <row r="153" spans="1:30" ht="9" customHeight="1">
      <c r="A153" s="774"/>
      <c r="B153" s="774"/>
      <c r="C153" s="774"/>
      <c r="D153" s="774"/>
      <c r="E153" s="774"/>
      <c r="F153" s="774"/>
      <c r="G153" s="774"/>
      <c r="H153" s="774"/>
      <c r="I153" s="774"/>
      <c r="J153" s="774"/>
      <c r="K153" s="774"/>
      <c r="L153" s="774"/>
      <c r="M153" s="774"/>
      <c r="N153" s="774"/>
      <c r="O153" s="774"/>
      <c r="P153" s="774"/>
      <c r="Q153" s="774"/>
      <c r="R153" s="774"/>
      <c r="S153" s="774"/>
      <c r="T153" s="774"/>
      <c r="U153" s="774"/>
      <c r="V153" s="774"/>
      <c r="W153" s="774"/>
      <c r="X153" s="774"/>
      <c r="Y153" s="774"/>
      <c r="Z153" s="774"/>
      <c r="AA153" s="774"/>
      <c r="AB153" s="774"/>
      <c r="AC153" s="774"/>
      <c r="AD153" s="774"/>
    </row>
    <row r="154" spans="1:30" ht="9" customHeight="1">
      <c r="A154" s="774" t="s">
        <v>1864</v>
      </c>
      <c r="B154" s="774"/>
      <c r="C154" s="772"/>
      <c r="D154" s="772"/>
      <c r="E154" s="772"/>
      <c r="F154" s="772"/>
      <c r="G154" s="772"/>
      <c r="H154" s="772"/>
      <c r="I154" s="772"/>
      <c r="J154" s="772"/>
      <c r="K154" s="772"/>
      <c r="L154" s="772"/>
      <c r="M154" s="772"/>
      <c r="N154" s="772"/>
      <c r="O154" s="772"/>
      <c r="P154" s="772"/>
      <c r="Q154" s="772"/>
      <c r="R154" s="772"/>
      <c r="S154" s="772"/>
      <c r="T154" s="772"/>
      <c r="U154" s="772"/>
      <c r="V154" s="772"/>
      <c r="W154" s="772"/>
      <c r="X154" s="772"/>
      <c r="Y154" s="927"/>
      <c r="Z154" s="775"/>
      <c r="AA154" s="778"/>
      <c r="AB154" s="775"/>
      <c r="AC154" s="775"/>
      <c r="AD154" s="775"/>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2.28515625" style="1289" hidden="1" customWidth="1"/>
    <col min="6" max="8" width="12.28515625" style="1696" hidden="1" customWidth="1"/>
    <col min="9" max="9" width="3" style="2032" customWidth="1"/>
    <col min="10" max="11" width="3" style="281" customWidth="1"/>
    <col min="12" max="12" width="12" style="2033" customWidth="1"/>
    <col min="13" max="13" width="31" style="1558" customWidth="1"/>
    <col min="14" max="14" width="1" style="1558" customWidth="1"/>
    <col min="15" max="18" width="24" style="1558" customWidth="1"/>
    <col min="19" max="19" width="11" style="1558" customWidth="1"/>
    <col min="20" max="20" width="3.7109375" style="1558" customWidth="1"/>
    <col min="21" max="21" width="11" style="1558" customWidth="1"/>
    <col min="22" max="22" width="8.5703125" style="1558" customWidth="1"/>
    <col min="23" max="23" width="4" style="1558" customWidth="1"/>
    <col min="24" max="24" width="115" style="1558" customWidth="1"/>
    <col min="25" max="29" width="10" style="1565" customWidth="1"/>
    <col min="30" max="30" width="10.5703125" style="1558" hidden="1"/>
  </cols>
  <sheetData>
    <row r="1" spans="1:30" ht="22.5" hidden="1" customHeight="1">
      <c r="R1" s="264"/>
      <c r="S1" s="264"/>
      <c r="AD1" s="1078" t="s">
        <v>14</v>
      </c>
    </row>
    <row r="2" spans="1:30" ht="14.25" hidden="1" customHeight="1">
      <c r="V2" s="264"/>
      <c r="AD2" s="1078">
        <v>0</v>
      </c>
    </row>
    <row r="3" spans="1:30" ht="14.25" hidden="1" customHeight="1">
      <c r="AD3" s="1078">
        <v>0</v>
      </c>
    </row>
    <row r="4" spans="1:30" ht="14.65" customHeight="1">
      <c r="J4" s="312"/>
      <c r="K4" s="312"/>
      <c r="L4" s="1198"/>
      <c r="M4" s="299"/>
      <c r="N4" s="299"/>
      <c r="O4" s="445"/>
      <c r="P4" s="445"/>
      <c r="Q4" s="445"/>
      <c r="R4" s="445"/>
      <c r="S4" s="445"/>
      <c r="T4" s="445"/>
      <c r="U4" s="445"/>
      <c r="V4" s="445"/>
      <c r="AD4" s="1078">
        <v>14</v>
      </c>
    </row>
    <row r="5" spans="1:30" ht="67.150000000000006" customHeight="1">
      <c r="J5" s="312"/>
      <c r="K5" s="312"/>
      <c r="L5" s="2790" t="s">
        <v>2396</v>
      </c>
      <c r="M5" s="2790"/>
      <c r="N5" s="2790"/>
      <c r="O5" s="2790"/>
      <c r="P5" s="2790"/>
      <c r="Q5" s="2790"/>
      <c r="R5" s="2790"/>
      <c r="S5" s="2790"/>
      <c r="T5" s="2790"/>
      <c r="U5" s="2790"/>
      <c r="V5" s="1166"/>
      <c r="AD5" s="1078">
        <v>64</v>
      </c>
    </row>
    <row r="6" spans="1:30" ht="14.65" customHeight="1">
      <c r="J6" s="312"/>
      <c r="K6" s="312"/>
      <c r="L6" s="2791" t="str">
        <f>IF(org=0,"Не определено",org)</f>
        <v>ПАО "ТГК-2"</v>
      </c>
      <c r="M6" s="2791"/>
      <c r="N6" s="2791"/>
      <c r="O6" s="2791"/>
      <c r="P6" s="2791"/>
      <c r="Q6" s="2791"/>
      <c r="R6" s="2791"/>
      <c r="S6" s="2791"/>
      <c r="T6" s="2791"/>
      <c r="U6" s="2791"/>
      <c r="V6" s="1166"/>
      <c r="AD6" s="1078">
        <v>14</v>
      </c>
    </row>
    <row r="7" spans="1:30" ht="14.65" customHeight="1">
      <c r="J7" s="312"/>
      <c r="K7" s="312"/>
      <c r="L7" s="1198"/>
      <c r="M7" s="299"/>
      <c r="N7" s="299"/>
      <c r="O7" s="259"/>
      <c r="P7" s="259"/>
      <c r="Q7" s="259"/>
      <c r="R7" s="259"/>
      <c r="S7" s="259"/>
      <c r="T7" s="259"/>
      <c r="U7" s="259"/>
      <c r="V7" s="259"/>
      <c r="W7" s="445"/>
      <c r="AD7" s="1078">
        <v>14</v>
      </c>
    </row>
    <row r="8" spans="1:30" s="1770" customFormat="1" ht="48.2" customHeight="1">
      <c r="A8" s="1291"/>
      <c r="B8" s="1291"/>
      <c r="C8" s="1291"/>
      <c r="D8" s="1291"/>
      <c r="E8" s="1291"/>
      <c r="F8" s="1291"/>
      <c r="G8" s="1291"/>
      <c r="H8" s="1291"/>
      <c r="L8" s="1199"/>
      <c r="M8" s="232" t="s">
        <v>42</v>
      </c>
      <c r="N8" s="241"/>
      <c r="O8" s="2499" t="str">
        <f>IF(TITLE_NAME_OR_PR_CHANGE="",IF(TITLE_NAME_OR_PR="","",TITLE_NAME_OR_PR),TITLE_NAME_OR_PR_CHANGE)</f>
        <v/>
      </c>
      <c r="P8" s="2499"/>
      <c r="Q8" s="2499"/>
      <c r="R8" s="2499"/>
      <c r="S8" s="2499"/>
      <c r="T8" s="2499"/>
      <c r="U8" s="2499"/>
      <c r="V8" s="263"/>
      <c r="W8" s="263"/>
      <c r="X8" s="217"/>
      <c r="Y8" s="304"/>
      <c r="Z8" s="304"/>
      <c r="AA8" s="304"/>
      <c r="AB8" s="304"/>
      <c r="AC8" s="304"/>
      <c r="AD8" s="354">
        <v>46</v>
      </c>
    </row>
    <row r="9" spans="1:30" s="1770" customFormat="1" ht="24" customHeight="1">
      <c r="A9" s="1291"/>
      <c r="B9" s="1291"/>
      <c r="C9" s="1291"/>
      <c r="D9" s="1291"/>
      <c r="E9" s="1291"/>
      <c r="F9" s="1291"/>
      <c r="G9" s="1291"/>
      <c r="H9" s="1291"/>
      <c r="L9" s="1199"/>
      <c r="M9" s="232" t="s">
        <v>522</v>
      </c>
      <c r="N9" s="241"/>
      <c r="O9" s="2499" t="str">
        <f>IF(TITLE_DATE_CHANGE_PERIOD="",IF(TITLE_DATE_PR="","",TITLE_DATE_PR),TITLE_DATE_CHANGE_PERIOD)</f>
        <v/>
      </c>
      <c r="P9" s="2499"/>
      <c r="Q9" s="2499"/>
      <c r="R9" s="2499"/>
      <c r="S9" s="2499"/>
      <c r="T9" s="2499"/>
      <c r="U9" s="2499"/>
      <c r="V9" s="263"/>
      <c r="W9" s="263"/>
      <c r="X9" s="217"/>
      <c r="Y9" s="304"/>
      <c r="Z9" s="304"/>
      <c r="AA9" s="304"/>
      <c r="AB9" s="304"/>
      <c r="AC9" s="304"/>
      <c r="AD9" s="354">
        <v>23</v>
      </c>
    </row>
    <row r="10" spans="1:30" s="1770" customFormat="1" ht="24" customHeight="1">
      <c r="A10" s="1291"/>
      <c r="B10" s="1291"/>
      <c r="C10" s="1291"/>
      <c r="D10" s="1291"/>
      <c r="E10" s="1291"/>
      <c r="F10" s="1291"/>
      <c r="G10" s="1291"/>
      <c r="H10" s="1291"/>
      <c r="L10" s="1173"/>
      <c r="M10" s="232" t="s">
        <v>523</v>
      </c>
      <c r="N10" s="241"/>
      <c r="O10" s="2499" t="str">
        <f>IF(TITLE_NUMBER_PR_CHANGE="",IF(TITLE_NUMBER_PR="","",TITLE_NUMBER_PR),TITLE_NUMBER_PR_CHANGE)</f>
        <v/>
      </c>
      <c r="P10" s="2499"/>
      <c r="Q10" s="2499"/>
      <c r="R10" s="2499"/>
      <c r="S10" s="2499"/>
      <c r="T10" s="2499"/>
      <c r="U10" s="2499"/>
      <c r="V10" s="263"/>
      <c r="W10" s="263"/>
      <c r="X10" s="217"/>
      <c r="Y10" s="304"/>
      <c r="Z10" s="304"/>
      <c r="AA10" s="304"/>
      <c r="AB10" s="304"/>
      <c r="AC10" s="304"/>
      <c r="AD10" s="354">
        <v>23</v>
      </c>
    </row>
    <row r="11" spans="1:30" s="1770" customFormat="1" ht="24" customHeight="1">
      <c r="A11" s="1291"/>
      <c r="B11" s="1291"/>
      <c r="C11" s="1291"/>
      <c r="D11" s="1291"/>
      <c r="E11" s="1291"/>
      <c r="F11" s="1291"/>
      <c r="G11" s="1291"/>
      <c r="H11" s="1291"/>
      <c r="L11" s="1173"/>
      <c r="M11" s="232" t="s">
        <v>43</v>
      </c>
      <c r="N11" s="241"/>
      <c r="O11" s="2499" t="str">
        <f>IF(TITLE_IST_PUB_CHANGE="",IF(TITLE_IST_PUB="","",TITLE_IST_PUB),TITLE_IST_PUB_CHANGE)</f>
        <v/>
      </c>
      <c r="P11" s="2499"/>
      <c r="Q11" s="2499"/>
      <c r="R11" s="2499"/>
      <c r="S11" s="2499"/>
      <c r="T11" s="2499"/>
      <c r="U11" s="2499"/>
      <c r="V11" s="263"/>
      <c r="W11" s="263"/>
      <c r="X11" s="217"/>
      <c r="Y11" s="304"/>
      <c r="Z11" s="304"/>
      <c r="AA11" s="304"/>
      <c r="AB11" s="304"/>
      <c r="AC11" s="304"/>
      <c r="AD11" s="354">
        <v>23</v>
      </c>
    </row>
    <row r="12" spans="1:30" s="1770" customFormat="1" ht="11.25" hidden="1" customHeight="1">
      <c r="A12" s="1291"/>
      <c r="B12" s="1291"/>
      <c r="C12" s="1291"/>
      <c r="D12" s="1291"/>
      <c r="E12" s="1291"/>
      <c r="F12" s="1291"/>
      <c r="G12" s="1291"/>
      <c r="H12" s="1291"/>
      <c r="L12" s="2792"/>
      <c r="M12" s="2792"/>
      <c r="N12" s="1210"/>
      <c r="O12" s="263"/>
      <c r="P12" s="263"/>
      <c r="Q12" s="263"/>
      <c r="R12" s="263"/>
      <c r="S12" s="263"/>
      <c r="T12" s="263"/>
      <c r="U12" s="263"/>
      <c r="V12" s="215" t="s">
        <v>442</v>
      </c>
      <c r="Y12" s="304"/>
      <c r="Z12" s="304"/>
      <c r="AA12" s="304"/>
      <c r="AB12" s="304"/>
      <c r="AC12" s="304"/>
      <c r="AD12" s="354">
        <v>0</v>
      </c>
    </row>
    <row r="13" spans="1:30" ht="14.65" customHeight="1">
      <c r="J13" s="312"/>
      <c r="K13" s="312"/>
      <c r="L13" s="1198"/>
      <c r="M13" s="299"/>
      <c r="N13" s="1167"/>
      <c r="O13" s="2500"/>
      <c r="P13" s="2500"/>
      <c r="Q13" s="2500"/>
      <c r="R13" s="2500"/>
      <c r="S13" s="2500"/>
      <c r="T13" s="2500"/>
      <c r="U13" s="2500"/>
      <c r="V13" s="2500"/>
      <c r="AD13" s="1078">
        <v>14</v>
      </c>
    </row>
    <row r="14" spans="1:30" ht="14.65" customHeight="1">
      <c r="J14" s="312"/>
      <c r="K14" s="312"/>
      <c r="L14" s="2371" t="s">
        <v>319</v>
      </c>
      <c r="M14" s="2371"/>
      <c r="N14" s="2371"/>
      <c r="O14" s="2371"/>
      <c r="P14" s="2371"/>
      <c r="Q14" s="2371"/>
      <c r="R14" s="2371"/>
      <c r="S14" s="2371"/>
      <c r="T14" s="2371"/>
      <c r="U14" s="2371"/>
      <c r="V14" s="2371"/>
      <c r="W14" s="2371"/>
      <c r="X14" s="2371" t="s">
        <v>320</v>
      </c>
      <c r="AD14" s="1078">
        <v>14</v>
      </c>
    </row>
    <row r="15" spans="1:30" ht="14.65" customHeight="1">
      <c r="J15" s="312"/>
      <c r="K15" s="312"/>
      <c r="L15" s="2514" t="s">
        <v>89</v>
      </c>
      <c r="M15" s="2466" t="s">
        <v>443</v>
      </c>
      <c r="N15" s="238"/>
      <c r="O15" s="2515" t="s">
        <v>2397</v>
      </c>
      <c r="P15" s="2516"/>
      <c r="Q15" s="2516"/>
      <c r="R15" s="2516"/>
      <c r="S15" s="2516"/>
      <c r="T15" s="2516"/>
      <c r="U15" s="2517"/>
      <c r="V15" s="2518" t="s">
        <v>445</v>
      </c>
      <c r="W15" s="2521" t="s">
        <v>1351</v>
      </c>
      <c r="X15" s="2371"/>
      <c r="AD15" s="1078">
        <v>14</v>
      </c>
    </row>
    <row r="16" spans="1:30" ht="35.65" customHeight="1">
      <c r="J16" s="312"/>
      <c r="K16" s="312"/>
      <c r="L16" s="2514"/>
      <c r="M16" s="2466"/>
      <c r="N16" s="958"/>
      <c r="O16" s="2435" t="s">
        <v>448</v>
      </c>
      <c r="P16" s="2435" t="s">
        <v>449</v>
      </c>
      <c r="Q16" s="2350" t="s">
        <v>450</v>
      </c>
      <c r="R16" s="2349"/>
      <c r="S16" s="2350" t="s">
        <v>464</v>
      </c>
      <c r="T16" s="2356"/>
      <c r="U16" s="2349"/>
      <c r="V16" s="2519"/>
      <c r="W16" s="2522"/>
      <c r="X16" s="2371"/>
      <c r="AD16" s="1078">
        <v>34</v>
      </c>
    </row>
    <row r="17" spans="1:30" ht="35.65" customHeight="1">
      <c r="A17" s="1293" t="s">
        <v>155</v>
      </c>
      <c r="B17" s="1293" t="s">
        <v>156</v>
      </c>
      <c r="C17" s="1293" t="s">
        <v>157</v>
      </c>
      <c r="D17" s="1293" t="s">
        <v>158</v>
      </c>
      <c r="E17" s="1293"/>
      <c r="J17" s="312"/>
      <c r="K17" s="312"/>
      <c r="L17" s="2514"/>
      <c r="M17" s="2466"/>
      <c r="N17" s="239"/>
      <c r="O17" s="2485"/>
      <c r="P17" s="2485"/>
      <c r="Q17" s="1145" t="s">
        <v>459</v>
      </c>
      <c r="R17" s="1145" t="s">
        <v>460</v>
      </c>
      <c r="S17" s="1215" t="s">
        <v>461</v>
      </c>
      <c r="T17" s="2474" t="s">
        <v>462</v>
      </c>
      <c r="U17" s="2476"/>
      <c r="V17" s="2520"/>
      <c r="W17" s="2523"/>
      <c r="X17" s="2371"/>
      <c r="AD17" s="1078">
        <v>34</v>
      </c>
    </row>
    <row r="18" spans="1:30" s="1564" customFormat="1" ht="11.45" customHeight="1">
      <c r="A18" s="1293"/>
      <c r="B18" s="1293"/>
      <c r="C18" s="1293"/>
      <c r="D18" s="1293"/>
      <c r="E18" s="1293"/>
      <c r="F18" s="1285"/>
      <c r="G18" s="1285"/>
      <c r="H18" s="1285"/>
      <c r="I18" s="1169"/>
      <c r="J18" s="1170"/>
      <c r="K18" s="1177">
        <v>1</v>
      </c>
      <c r="L18" s="1200" t="s">
        <v>100</v>
      </c>
      <c r="M18" s="1178" t="s">
        <v>103</v>
      </c>
      <c r="N18" s="1168" t="str">
        <f ca="1">OFFSET(N18,0,-1)</f>
        <v>2</v>
      </c>
      <c r="O18" s="1212">
        <f ca="1">OFFSET(O18,0,-1)+1</f>
        <v>3</v>
      </c>
      <c r="P18" s="1212"/>
      <c r="Q18" s="1212">
        <f ca="1">OFFSET(Q18,0,-1)+1</f>
        <v>1</v>
      </c>
      <c r="R18" s="1212">
        <f ca="1">OFFSET(R18,0,-1)+1</f>
        <v>2</v>
      </c>
      <c r="S18" s="1212">
        <f ca="1">OFFSET(S18,0,-1)+1</f>
        <v>3</v>
      </c>
      <c r="T18" s="2513">
        <f ca="1">OFFSET(T18,0,-1)+1</f>
        <v>4</v>
      </c>
      <c r="U18" s="2513"/>
      <c r="V18" s="1212">
        <f ca="1">OFFSET(V18,0,-2)+1</f>
        <v>5</v>
      </c>
      <c r="W18" s="1168">
        <f ca="1">OFFSET(W18,0,-1)</f>
        <v>5</v>
      </c>
      <c r="X18" s="1212">
        <f ca="1">OFFSET(X18,0,-1)+1</f>
        <v>6</v>
      </c>
      <c r="Y18" s="447"/>
      <c r="Z18" s="447"/>
      <c r="AA18" s="447"/>
      <c r="AB18" s="447"/>
      <c r="AC18" s="447"/>
      <c r="AD18" s="432">
        <v>11</v>
      </c>
    </row>
    <row r="19" spans="1:30" ht="21" customHeight="1">
      <c r="A19" s="1286" t="s">
        <v>189</v>
      </c>
      <c r="B19" s="1286" t="s">
        <v>190</v>
      </c>
      <c r="C19" s="1286" t="s">
        <v>191</v>
      </c>
      <c r="D19" s="1286" t="s">
        <v>192</v>
      </c>
      <c r="E19" s="1286"/>
      <c r="F19" s="1288"/>
      <c r="G19" s="1288"/>
      <c r="H19" s="1288"/>
      <c r="I19" s="297"/>
      <c r="J19" s="296"/>
      <c r="K19" s="291"/>
      <c r="L19" s="1216">
        <f>INDEX(PT_DIFFERENTIATION_NUM_NTAR,MATCH(A19,PT_DIFFERENTIATION_NTAR_ID,0))</f>
        <v>0</v>
      </c>
      <c r="M19" s="235" t="s">
        <v>144</v>
      </c>
      <c r="N19" s="237"/>
      <c r="O19" s="2793" t="str">
        <f>INDEX(PT_DIFFERENTIATION_NTAR,MATCH(A19,PT_DIFFERENTIATION_NTAR_ID,0))</f>
        <v/>
      </c>
      <c r="P19" s="2793"/>
      <c r="Q19" s="2793"/>
      <c r="R19" s="2793"/>
      <c r="S19" s="2793"/>
      <c r="T19" s="2793"/>
      <c r="U19" s="2793"/>
      <c r="V19" s="2793"/>
      <c r="W19" s="2793"/>
      <c r="X19" s="1181" t="s">
        <v>415</v>
      </c>
      <c r="Z19" s="436"/>
      <c r="AA19" s="436" t="str">
        <f t="shared" ref="AA19:AA32" si="0">IF(M19="","",M19)</f>
        <v>Наименование тарифа</v>
      </c>
      <c r="AB19" s="436"/>
      <c r="AC19" s="436"/>
      <c r="AD19" s="1078">
        <v>20</v>
      </c>
    </row>
    <row r="20" spans="1:30" ht="21" customHeight="1">
      <c r="A20" s="1286" t="s">
        <v>189</v>
      </c>
      <c r="B20" s="1286" t="s">
        <v>190</v>
      </c>
      <c r="C20" s="1286" t="s">
        <v>191</v>
      </c>
      <c r="D20" s="1286" t="s">
        <v>192</v>
      </c>
      <c r="E20" s="1286"/>
      <c r="F20" s="1288"/>
      <c r="G20" s="1288"/>
      <c r="H20" s="1288"/>
      <c r="I20" s="1213"/>
      <c r="J20" s="288"/>
      <c r="K20" s="289"/>
      <c r="L20" s="1216" t="str">
        <f>INDEX(PT_DIFFERENTIATION_NUM_TER,MATCH(B19,PT_DIFFERENTIATION_TER_ID,0))</f>
        <v>.</v>
      </c>
      <c r="M20" s="245" t="s">
        <v>416</v>
      </c>
      <c r="N20" s="237"/>
      <c r="O20" s="2793" t="str">
        <f>INDEX(PT_DIFFERENTIATION_TER,MATCH(B19,PT_DIFFERENTIATION_TER_ID,0))</f>
        <v/>
      </c>
      <c r="P20" s="2793"/>
      <c r="Q20" s="2793"/>
      <c r="R20" s="2793"/>
      <c r="S20" s="2793"/>
      <c r="T20" s="2793"/>
      <c r="U20" s="2793"/>
      <c r="V20" s="2793"/>
      <c r="W20" s="2793"/>
      <c r="X20" s="1181" t="s">
        <v>417</v>
      </c>
      <c r="Z20" s="436"/>
      <c r="AA20" s="436" t="str">
        <f t="shared" si="0"/>
        <v>Территория действия тарифа</v>
      </c>
      <c r="AB20" s="436"/>
      <c r="AC20" s="436"/>
      <c r="AD20" s="1078">
        <v>20</v>
      </c>
    </row>
    <row r="21" spans="1:30" ht="24" customHeight="1">
      <c r="A21" s="1286" t="s">
        <v>189</v>
      </c>
      <c r="B21" s="1286" t="s">
        <v>190</v>
      </c>
      <c r="C21" s="1286" t="s">
        <v>191</v>
      </c>
      <c r="D21" s="1286" t="s">
        <v>192</v>
      </c>
      <c r="E21" s="1286"/>
      <c r="F21" s="1288"/>
      <c r="G21" s="1288"/>
      <c r="H21" s="1288"/>
      <c r="I21" s="290"/>
      <c r="J21" s="288"/>
      <c r="K21" s="289"/>
      <c r="L21" s="1216" t="str">
        <f>INDEX(PT_DIFFERENTIATION_NUM_CS,MATCH(C19,PT_DIFFERENTIATION_CS_ID,0))</f>
        <v>..</v>
      </c>
      <c r="M21" s="246" t="s">
        <v>418</v>
      </c>
      <c r="N21" s="237"/>
      <c r="O21" s="2793" t="str">
        <f>INDEX(PT_DIFFERENTIATION_CS,MATCH(C19,PT_DIFFERENTIATION_CS_ID,0))</f>
        <v/>
      </c>
      <c r="P21" s="2793"/>
      <c r="Q21" s="2793"/>
      <c r="R21" s="2793"/>
      <c r="S21" s="2793"/>
      <c r="T21" s="2793"/>
      <c r="U21" s="2793"/>
      <c r="V21" s="2793"/>
      <c r="W21" s="2793"/>
      <c r="X21" s="1181" t="s">
        <v>419</v>
      </c>
      <c r="Z21" s="436"/>
      <c r="AA21" s="436" t="str">
        <f t="shared" si="0"/>
        <v xml:space="preserve">Наименование системы теплоснабжения </v>
      </c>
      <c r="AB21" s="436"/>
      <c r="AC21" s="436"/>
      <c r="AD21" s="1078">
        <v>23</v>
      </c>
    </row>
    <row r="22" spans="1:30" ht="21" customHeight="1">
      <c r="A22" s="1286" t="s">
        <v>189</v>
      </c>
      <c r="B22" s="1286" t="s">
        <v>190</v>
      </c>
      <c r="C22" s="1286" t="s">
        <v>191</v>
      </c>
      <c r="D22" s="1286" t="s">
        <v>192</v>
      </c>
      <c r="E22" s="1286"/>
      <c r="F22" s="1288"/>
      <c r="G22" s="1288"/>
      <c r="H22" s="1288"/>
      <c r="I22" s="290"/>
      <c r="J22" s="288"/>
      <c r="K22" s="289"/>
      <c r="L22" s="1216" t="str">
        <f>INDEX(PT_DIFFERENTIATION_NUM_IST_TE,MATCH(D19,PT_DIFFERENTIATION_IST_TE_ID,0))</f>
        <v>...</v>
      </c>
      <c r="M22" s="247" t="s">
        <v>420</v>
      </c>
      <c r="N22" s="237"/>
      <c r="O22" s="2793" t="str">
        <f>INDEX(PT_DIFFERENTIATION_IST_TE,MATCH(D19,PT_DIFFERENTIATION_IST_TE_ID,0))</f>
        <v/>
      </c>
      <c r="P22" s="2793"/>
      <c r="Q22" s="2793"/>
      <c r="R22" s="2793"/>
      <c r="S22" s="2793"/>
      <c r="T22" s="2793"/>
      <c r="U22" s="2793"/>
      <c r="V22" s="2793"/>
      <c r="W22" s="2793"/>
      <c r="X22" s="1181" t="s">
        <v>421</v>
      </c>
      <c r="Z22" s="436"/>
      <c r="AA22" s="436" t="str">
        <f t="shared" si="0"/>
        <v xml:space="preserve">Источник тепловой энергии  </v>
      </c>
      <c r="AB22" s="436"/>
      <c r="AC22" s="436"/>
      <c r="AD22" s="1078">
        <v>20</v>
      </c>
    </row>
    <row r="23" spans="1:30" ht="96.75" customHeight="1">
      <c r="A23" s="1286" t="s">
        <v>189</v>
      </c>
      <c r="B23" s="1286" t="s">
        <v>190</v>
      </c>
      <c r="C23" s="1286" t="s">
        <v>191</v>
      </c>
      <c r="D23" s="1286" t="s">
        <v>192</v>
      </c>
      <c r="E23" s="1286"/>
      <c r="F23" s="2354" t="str">
        <f>L22&amp;".1"</f>
        <v>....1</v>
      </c>
      <c r="I23" s="2505">
        <v>1</v>
      </c>
      <c r="J23" s="1214"/>
      <c r="K23" s="292"/>
      <c r="L23" s="1216" t="str">
        <f>$F$23</f>
        <v>....1</v>
      </c>
      <c r="M23" s="222" t="s">
        <v>423</v>
      </c>
      <c r="N23" s="237"/>
      <c r="O23" s="2543"/>
      <c r="P23" s="2543"/>
      <c r="Q23" s="2543"/>
      <c r="R23" s="2543"/>
      <c r="S23" s="2543"/>
      <c r="T23" s="2543"/>
      <c r="U23" s="2543"/>
      <c r="V23" s="2543"/>
      <c r="W23" s="2543"/>
      <c r="X23" s="1181" t="s">
        <v>424</v>
      </c>
      <c r="Z23" s="436"/>
      <c r="AA23" s="436" t="str">
        <f t="shared" si="0"/>
        <v>Схема подключения теплопотребляющей установки к коллектору источника тепловой энергии</v>
      </c>
      <c r="AB23" s="436"/>
      <c r="AC23" s="436"/>
      <c r="AD23" s="1078">
        <v>92</v>
      </c>
    </row>
    <row r="24" spans="1:30" ht="86.25" customHeight="1">
      <c r="A24" s="1286" t="s">
        <v>189</v>
      </c>
      <c r="B24" s="1286" t="s">
        <v>190</v>
      </c>
      <c r="C24" s="1286" t="s">
        <v>191</v>
      </c>
      <c r="D24" s="1286" t="s">
        <v>192</v>
      </c>
      <c r="E24" s="1286"/>
      <c r="F24" s="2354"/>
      <c r="G24" s="2354" t="str">
        <f>F23&amp;".1"</f>
        <v>....1.1</v>
      </c>
      <c r="I24" s="2505"/>
      <c r="J24" s="2505">
        <v>1</v>
      </c>
      <c r="K24" s="293"/>
      <c r="L24" s="1216" t="str">
        <f>$G$24</f>
        <v>....1.1</v>
      </c>
      <c r="M24" s="223" t="s">
        <v>426</v>
      </c>
      <c r="N24" s="237"/>
      <c r="O24" s="2495"/>
      <c r="P24" s="2496"/>
      <c r="Q24" s="2496"/>
      <c r="R24" s="2496"/>
      <c r="S24" s="2496"/>
      <c r="T24" s="2496"/>
      <c r="U24" s="2496"/>
      <c r="V24" s="2496"/>
      <c r="W24" s="2497"/>
      <c r="X24" s="1181" t="s">
        <v>427</v>
      </c>
      <c r="Z24" s="436"/>
      <c r="AA24" s="436" t="str">
        <f t="shared" si="0"/>
        <v>Группа потребителей</v>
      </c>
      <c r="AB24" s="436"/>
      <c r="AC24" s="436"/>
      <c r="AD24" s="1078">
        <v>82</v>
      </c>
    </row>
    <row r="25" spans="1:30" ht="11.45" customHeight="1">
      <c r="A25" s="1286" t="s">
        <v>189</v>
      </c>
      <c r="B25" s="1286" t="s">
        <v>190</v>
      </c>
      <c r="C25" s="1286" t="s">
        <v>191</v>
      </c>
      <c r="D25" s="1286" t="s">
        <v>192</v>
      </c>
      <c r="E25" s="1286"/>
      <c r="F25" s="2354"/>
      <c r="G25" s="2354"/>
      <c r="H25" s="2354" t="str">
        <f>G24&amp;".1"</f>
        <v>....1.1.1</v>
      </c>
      <c r="I25" s="2505"/>
      <c r="J25" s="2505"/>
      <c r="K25" s="293">
        <v>1</v>
      </c>
      <c r="L25" s="1216" t="str">
        <f>$H$25</f>
        <v>....1.1.1</v>
      </c>
      <c r="M25" s="1270"/>
      <c r="N25" s="237"/>
      <c r="O25" s="686"/>
      <c r="P25" s="262"/>
      <c r="Q25" s="686"/>
      <c r="R25" s="1180"/>
      <c r="S25" s="2509"/>
      <c r="T25" s="2360" t="s">
        <v>63</v>
      </c>
      <c r="U25" s="2509"/>
      <c r="V25" s="2360" t="s">
        <v>19</v>
      </c>
      <c r="W25" s="262"/>
      <c r="X25" s="2501" t="s">
        <v>429</v>
      </c>
      <c r="Y25" s="447" t="e">
        <f ca="1">STRCHECKDATE(O26:W26)</f>
        <v>#NAME?</v>
      </c>
      <c r="Z25" s="436"/>
      <c r="AA25" s="436" t="str">
        <f t="shared" si="0"/>
        <v/>
      </c>
      <c r="AB25" s="436"/>
      <c r="AC25" s="436"/>
      <c r="AD25" s="1078">
        <v>11</v>
      </c>
    </row>
    <row r="26" spans="1:30" ht="11.45" customHeight="1">
      <c r="A26" s="1286" t="s">
        <v>189</v>
      </c>
      <c r="B26" s="1286" t="s">
        <v>190</v>
      </c>
      <c r="C26" s="1286" t="s">
        <v>191</v>
      </c>
      <c r="D26" s="1286" t="s">
        <v>192</v>
      </c>
      <c r="E26" s="1286"/>
      <c r="F26" s="2354"/>
      <c r="G26" s="2354"/>
      <c r="H26" s="2354"/>
      <c r="I26" s="2505"/>
      <c r="J26" s="2505"/>
      <c r="K26" s="293"/>
      <c r="L26" s="1217"/>
      <c r="M26" s="237"/>
      <c r="N26" s="237"/>
      <c r="O26" s="262"/>
      <c r="P26" s="262"/>
      <c r="Q26" s="262"/>
      <c r="R26" s="265" t="str">
        <f>S25&amp;"-"&amp;U25</f>
        <v>-</v>
      </c>
      <c r="S26" s="2510"/>
      <c r="T26" s="2360"/>
      <c r="U26" s="2510"/>
      <c r="V26" s="2360"/>
      <c r="W26" s="262"/>
      <c r="X26" s="2502"/>
      <c r="Z26" s="436"/>
      <c r="AA26" s="436" t="str">
        <f t="shared" si="0"/>
        <v/>
      </c>
      <c r="AB26" s="436"/>
      <c r="AC26" s="436"/>
      <c r="AD26" s="1078">
        <v>11</v>
      </c>
    </row>
    <row r="27" spans="1:30" ht="15.75" customHeight="1">
      <c r="A27" s="1286" t="s">
        <v>189</v>
      </c>
      <c r="B27" s="1286" t="s">
        <v>190</v>
      </c>
      <c r="C27" s="1286" t="s">
        <v>191</v>
      </c>
      <c r="D27" s="1286" t="s">
        <v>192</v>
      </c>
      <c r="E27" s="1286"/>
      <c r="F27" s="2354"/>
      <c r="G27" s="2354"/>
      <c r="I27" s="2505"/>
      <c r="J27" s="2505"/>
      <c r="K27" s="292"/>
      <c r="L27" s="1201"/>
      <c r="M27" s="225" t="s">
        <v>430</v>
      </c>
      <c r="N27" s="303"/>
      <c r="O27" s="303"/>
      <c r="P27" s="303"/>
      <c r="Q27" s="303"/>
      <c r="R27" s="303"/>
      <c r="S27" s="303"/>
      <c r="T27" s="303"/>
      <c r="U27" s="303"/>
      <c r="V27" s="303"/>
      <c r="W27" s="261"/>
      <c r="X27" s="2503"/>
      <c r="Z27" s="436"/>
      <c r="AA27" s="436" t="str">
        <f t="shared" si="0"/>
        <v>Добавить вид теплоносителя (параметры теплоносителя)</v>
      </c>
      <c r="AB27" s="436"/>
      <c r="AC27" s="436"/>
      <c r="AD27" s="1078">
        <v>15</v>
      </c>
    </row>
    <row r="28" spans="1:30" ht="15.75" customHeight="1">
      <c r="A28" s="1286" t="s">
        <v>189</v>
      </c>
      <c r="B28" s="1286" t="s">
        <v>190</v>
      </c>
      <c r="C28" s="1286" t="s">
        <v>191</v>
      </c>
      <c r="D28" s="1286" t="s">
        <v>192</v>
      </c>
      <c r="E28" s="1286"/>
      <c r="F28" s="2354"/>
      <c r="I28" s="2505"/>
      <c r="J28" s="1214"/>
      <c r="K28" s="292"/>
      <c r="L28" s="1201"/>
      <c r="M28" s="224" t="s">
        <v>431</v>
      </c>
      <c r="N28" s="303"/>
      <c r="O28" s="303"/>
      <c r="P28" s="303"/>
      <c r="Q28" s="303"/>
      <c r="R28" s="303"/>
      <c r="S28" s="303"/>
      <c r="T28" s="303"/>
      <c r="U28" s="303"/>
      <c r="V28" s="302"/>
      <c r="W28" s="303"/>
      <c r="X28" s="240"/>
      <c r="Z28" s="436"/>
      <c r="AA28" s="436" t="str">
        <f t="shared" si="0"/>
        <v>Добавить группу потребителей</v>
      </c>
      <c r="AB28" s="436"/>
      <c r="AC28" s="436"/>
      <c r="AD28" s="1078">
        <v>15</v>
      </c>
    </row>
    <row r="29" spans="1:30" ht="14.65" customHeight="1">
      <c r="A29" s="1286" t="s">
        <v>189</v>
      </c>
      <c r="B29" s="1286" t="s">
        <v>190</v>
      </c>
      <c r="C29" s="1286" t="s">
        <v>191</v>
      </c>
      <c r="D29" s="1286" t="s">
        <v>192</v>
      </c>
      <c r="E29" s="1286"/>
      <c r="F29" s="1288"/>
      <c r="G29" s="1288"/>
      <c r="H29" s="473"/>
      <c r="I29" s="296"/>
      <c r="J29" s="311"/>
      <c r="K29" s="291"/>
      <c r="L29" s="1201"/>
      <c r="M29" s="301" t="s">
        <v>432</v>
      </c>
      <c r="N29" s="303"/>
      <c r="O29" s="303"/>
      <c r="P29" s="303"/>
      <c r="Q29" s="303"/>
      <c r="R29" s="303"/>
      <c r="S29" s="303"/>
      <c r="T29" s="303"/>
      <c r="U29" s="303"/>
      <c r="V29" s="302"/>
      <c r="W29" s="303"/>
      <c r="X29" s="240"/>
      <c r="Z29" s="436"/>
      <c r="AA29" s="436" t="str">
        <f t="shared" si="0"/>
        <v>Добавить схему подключения</v>
      </c>
      <c r="AB29" s="436"/>
      <c r="AC29" s="436"/>
      <c r="AD29" s="1078">
        <v>14</v>
      </c>
    </row>
    <row r="30" spans="1:30" ht="14.65" customHeight="1">
      <c r="A30" s="1286" t="s">
        <v>189</v>
      </c>
      <c r="B30" s="1286" t="s">
        <v>190</v>
      </c>
      <c r="C30" s="1286" t="s">
        <v>191</v>
      </c>
      <c r="D30" s="1286"/>
      <c r="E30" s="1286" t="s">
        <v>621</v>
      </c>
      <c r="F30" s="1288"/>
      <c r="G30" s="1288"/>
      <c r="H30" s="473"/>
      <c r="I30" s="296"/>
      <c r="J30" s="311"/>
      <c r="K30" s="291"/>
      <c r="L30" s="1202"/>
      <c r="M30" s="1191"/>
      <c r="N30" s="1192"/>
      <c r="O30" s="1192"/>
      <c r="P30" s="1192"/>
      <c r="Q30" s="1192"/>
      <c r="R30" s="1192"/>
      <c r="S30" s="1192"/>
      <c r="T30" s="1192"/>
      <c r="U30" s="1192"/>
      <c r="V30" s="1193"/>
      <c r="W30" s="1192"/>
      <c r="X30" s="1194"/>
      <c r="Z30" s="436"/>
      <c r="AA30" s="436" t="str">
        <f t="shared" si="0"/>
        <v/>
      </c>
      <c r="AB30" s="436"/>
      <c r="AC30" s="436"/>
      <c r="AD30" s="1078">
        <v>14</v>
      </c>
    </row>
    <row r="31" spans="1:30" ht="14.65" customHeight="1">
      <c r="A31" s="1286" t="s">
        <v>189</v>
      </c>
      <c r="B31" s="1286" t="s">
        <v>190</v>
      </c>
      <c r="C31" s="1286"/>
      <c r="D31" s="1286"/>
      <c r="E31" s="1286" t="s">
        <v>2398</v>
      </c>
      <c r="F31" s="1440"/>
      <c r="G31" s="1440"/>
      <c r="H31" s="473"/>
      <c r="I31" s="294"/>
      <c r="J31" s="311"/>
      <c r="K31" s="295"/>
      <c r="L31" s="1202"/>
      <c r="M31" s="1195"/>
      <c r="N31" s="1192"/>
      <c r="O31" s="1192"/>
      <c r="P31" s="1192"/>
      <c r="Q31" s="1192"/>
      <c r="R31" s="1192"/>
      <c r="S31" s="1192"/>
      <c r="T31" s="1192"/>
      <c r="U31" s="1192"/>
      <c r="V31" s="1193"/>
      <c r="W31" s="1192"/>
      <c r="X31" s="1194"/>
      <c r="Z31" s="436"/>
      <c r="AA31" s="436" t="str">
        <f t="shared" si="0"/>
        <v/>
      </c>
      <c r="AB31" s="436"/>
      <c r="AC31" s="436"/>
      <c r="AD31" s="1078">
        <v>14</v>
      </c>
    </row>
    <row r="32" spans="1:30" ht="14.65" customHeight="1">
      <c r="A32" s="1286" t="s">
        <v>2399</v>
      </c>
      <c r="B32" s="1286"/>
      <c r="C32" s="1286"/>
      <c r="D32" s="1286"/>
      <c r="E32" s="1286" t="s">
        <v>118</v>
      </c>
      <c r="F32" s="1440"/>
      <c r="G32" s="1440"/>
      <c r="H32" s="473"/>
      <c r="I32" s="296"/>
      <c r="J32" s="311"/>
      <c r="K32" s="291"/>
      <c r="L32" s="1202"/>
      <c r="M32" s="1196"/>
      <c r="N32" s="1192"/>
      <c r="O32" s="1192"/>
      <c r="P32" s="1192"/>
      <c r="Q32" s="1192"/>
      <c r="R32" s="1192"/>
      <c r="S32" s="1192"/>
      <c r="T32" s="1192"/>
      <c r="U32" s="1192"/>
      <c r="V32" s="1193"/>
      <c r="W32" s="1192"/>
      <c r="X32" s="1194"/>
      <c r="Z32" s="436"/>
      <c r="AA32" s="436" t="str">
        <f t="shared" si="0"/>
        <v/>
      </c>
      <c r="AB32" s="436"/>
      <c r="AC32" s="436"/>
      <c r="AD32" s="1078">
        <v>14</v>
      </c>
    </row>
    <row r="33" spans="1:30" s="1767" customFormat="1" ht="11.45" customHeight="1">
      <c r="A33" s="1286"/>
      <c r="B33" s="1286"/>
      <c r="C33" s="1286"/>
      <c r="D33" s="1286"/>
      <c r="E33" s="1286" t="s">
        <v>463</v>
      </c>
      <c r="F33" s="1441"/>
      <c r="G33" s="1442"/>
      <c r="H33" s="473"/>
      <c r="L33" s="1203"/>
      <c r="M33" s="1197"/>
      <c r="N33" s="1192"/>
      <c r="O33" s="1192"/>
      <c r="P33" s="1192"/>
      <c r="Q33" s="1192"/>
      <c r="R33" s="1192"/>
      <c r="S33" s="1192"/>
      <c r="T33" s="1192"/>
      <c r="U33" s="1192"/>
      <c r="V33" s="1193"/>
      <c r="W33" s="1192"/>
      <c r="X33" s="1194"/>
      <c r="Y33" s="315"/>
      <c r="Z33" s="315"/>
      <c r="AA33" s="315"/>
      <c r="AB33" s="315"/>
      <c r="AC33" s="315"/>
      <c r="AD33" s="309">
        <v>11</v>
      </c>
    </row>
    <row r="34" spans="1:30" ht="11.45" customHeight="1">
      <c r="F34" s="1083"/>
      <c r="G34" s="1083"/>
      <c r="H34" s="473"/>
      <c r="I34" s="1078"/>
      <c r="J34" s="1078"/>
      <c r="K34" s="1078"/>
      <c r="Y34" s="1078"/>
      <c r="Z34" s="1078"/>
      <c r="AA34" s="1078"/>
      <c r="AB34" s="1078"/>
      <c r="AC34" s="1078"/>
      <c r="AD34" s="1078">
        <v>11</v>
      </c>
    </row>
    <row r="35" spans="1:30" ht="28.5" customHeight="1">
      <c r="H35" s="473"/>
      <c r="L35" s="1211" t="s">
        <v>967</v>
      </c>
      <c r="M35" s="2526" t="s">
        <v>2400</v>
      </c>
      <c r="N35" s="2526"/>
      <c r="O35" s="2526"/>
      <c r="P35" s="2526"/>
      <c r="Q35" s="2526"/>
      <c r="R35" s="2526"/>
      <c r="S35" s="2526"/>
      <c r="T35" s="2526"/>
      <c r="U35" s="2526"/>
      <c r="V35" s="2526"/>
      <c r="W35" s="2526"/>
      <c r="X35" s="2526"/>
      <c r="AD35" s="1078">
        <v>27</v>
      </c>
    </row>
    <row r="36" spans="1:30" ht="109.15" customHeight="1">
      <c r="H36" s="473"/>
      <c r="I36" s="1226"/>
      <c r="M36" s="2526" t="s">
        <v>2401</v>
      </c>
      <c r="N36" s="2526"/>
      <c r="O36" s="2526"/>
      <c r="P36" s="2526"/>
      <c r="Q36" s="2526"/>
      <c r="R36" s="2526"/>
      <c r="S36" s="2526"/>
      <c r="T36" s="2526"/>
      <c r="U36" s="2526"/>
      <c r="V36" s="2526"/>
      <c r="W36" s="2526"/>
      <c r="X36" s="2526"/>
      <c r="AD36" s="1078">
        <v>104</v>
      </c>
    </row>
    <row r="37" spans="1:30" ht="14.65" customHeight="1">
      <c r="H37" s="473"/>
      <c r="AD37" s="1078">
        <v>14</v>
      </c>
    </row>
    <row r="38" spans="1:30" ht="14.65" customHeight="1">
      <c r="H38" s="473"/>
      <c r="AD38" s="1078">
        <v>14</v>
      </c>
    </row>
    <row r="39" spans="1:30" ht="14.65" customHeight="1">
      <c r="H39" s="473"/>
      <c r="AD39" s="1078">
        <v>14</v>
      </c>
    </row>
    <row r="40" spans="1:30" ht="14.65" customHeight="1">
      <c r="H40" s="473"/>
      <c r="AD40" s="1078">
        <v>14</v>
      </c>
    </row>
    <row r="41" spans="1:30" ht="22.5" hidden="1" customHeight="1">
      <c r="A41" s="1083" t="s">
        <v>83</v>
      </c>
      <c r="B41" s="1083">
        <v>0</v>
      </c>
      <c r="C41" s="1083">
        <v>0</v>
      </c>
      <c r="D41" s="1083">
        <v>0</v>
      </c>
      <c r="E41" s="1083">
        <v>0</v>
      </c>
      <c r="F41" s="1285">
        <v>0</v>
      </c>
      <c r="G41" s="1285">
        <v>0</v>
      </c>
      <c r="H41" s="1285">
        <v>0</v>
      </c>
      <c r="I41" s="1209">
        <v>3</v>
      </c>
      <c r="J41" s="281">
        <v>3</v>
      </c>
      <c r="K41" s="281">
        <v>3</v>
      </c>
      <c r="L41" s="517">
        <v>12</v>
      </c>
      <c r="M41" s="1078">
        <v>31</v>
      </c>
      <c r="N41" s="1078">
        <v>1</v>
      </c>
      <c r="O41" s="1078">
        <v>24</v>
      </c>
      <c r="P41" s="1078">
        <v>24</v>
      </c>
      <c r="Q41" s="1078">
        <v>24</v>
      </c>
      <c r="R41" s="1078">
        <v>24</v>
      </c>
      <c r="S41" s="1078">
        <v>11</v>
      </c>
      <c r="T41" s="1078">
        <v>3</v>
      </c>
      <c r="U41" s="1078">
        <v>11</v>
      </c>
      <c r="V41" s="1078">
        <v>8</v>
      </c>
      <c r="W41" s="1078">
        <v>4</v>
      </c>
      <c r="X41" s="1078">
        <v>115</v>
      </c>
      <c r="Y41" s="447">
        <v>10</v>
      </c>
      <c r="Z41" s="447">
        <v>10</v>
      </c>
      <c r="AA41" s="447">
        <v>10</v>
      </c>
      <c r="AB41" s="447">
        <v>10</v>
      </c>
      <c r="AC41" s="447">
        <v>10</v>
      </c>
      <c r="AD41" s="1078">
        <v>23</v>
      </c>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08"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140625" style="391" hidden="1"/>
  </cols>
  <sheetData>
    <row r="1" spans="1:10" ht="11.25" hidden="1" customHeight="1">
      <c r="A1" s="1608" t="s">
        <v>318</v>
      </c>
      <c r="J1" s="391" t="s">
        <v>14</v>
      </c>
    </row>
    <row r="2" spans="1:10" ht="11.25" hidden="1" customHeight="1">
      <c r="J2" s="391">
        <v>0</v>
      </c>
    </row>
    <row r="3" spans="1:10" s="413" customFormat="1" ht="11.45" customHeight="1">
      <c r="A3" s="1608"/>
      <c r="B3" s="437"/>
      <c r="D3" s="414"/>
      <c r="J3" s="413">
        <v>11</v>
      </c>
    </row>
    <row r="4" spans="1:10" ht="27.4" customHeight="1">
      <c r="D4" s="241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418"/>
      <c r="F4" s="2419"/>
      <c r="I4" s="651"/>
      <c r="J4" s="391">
        <v>26</v>
      </c>
    </row>
    <row r="5" spans="1:10" ht="18" customHeight="1">
      <c r="D5" s="2436" t="str">
        <f>IF(org=0,"Не определено",org)</f>
        <v>ПАО "ТГК-2"</v>
      </c>
      <c r="E5" s="2436"/>
      <c r="F5" s="2436"/>
      <c r="I5" s="651"/>
      <c r="J5" s="391">
        <v>17</v>
      </c>
    </row>
    <row r="6" spans="1:10" s="413" customFormat="1" ht="11.45" customHeight="1">
      <c r="A6" s="1608"/>
      <c r="B6" s="437"/>
      <c r="D6" s="650"/>
      <c r="E6" s="650"/>
      <c r="F6" s="687"/>
      <c r="G6" s="650"/>
      <c r="J6" s="413">
        <v>11</v>
      </c>
    </row>
    <row r="7" spans="1:10" ht="11.25" hidden="1" customHeight="1">
      <c r="A7" s="393"/>
      <c r="B7" s="438"/>
      <c r="C7" s="393"/>
      <c r="D7" s="399"/>
      <c r="E7" s="2464"/>
      <c r="F7" s="2464"/>
      <c r="J7" s="391">
        <v>0</v>
      </c>
    </row>
    <row r="8" spans="1:10" ht="11.45" customHeight="1">
      <c r="A8" s="393"/>
      <c r="B8" s="438"/>
      <c r="C8" s="393"/>
      <c r="D8" s="2461" t="s">
        <v>319</v>
      </c>
      <c r="E8" s="2462"/>
      <c r="F8" s="2462"/>
      <c r="G8" s="2465" t="s">
        <v>320</v>
      </c>
      <c r="J8" s="391">
        <v>11</v>
      </c>
    </row>
    <row r="9" spans="1:10" ht="11.45" customHeight="1">
      <c r="A9" s="393"/>
      <c r="B9" s="438"/>
      <c r="C9" s="393"/>
      <c r="D9" s="408" t="s">
        <v>89</v>
      </c>
      <c r="E9" s="382" t="s">
        <v>321</v>
      </c>
      <c r="F9" s="382" t="s">
        <v>322</v>
      </c>
      <c r="G9" s="2466"/>
      <c r="J9" s="391">
        <v>11</v>
      </c>
    </row>
    <row r="10" spans="1:10" ht="12" hidden="1" customHeight="1">
      <c r="A10" s="393"/>
      <c r="B10" s="438"/>
      <c r="C10" s="393"/>
      <c r="D10" s="400"/>
      <c r="E10" s="400"/>
      <c r="F10" s="400"/>
      <c r="G10" s="400"/>
      <c r="J10" s="391">
        <v>0</v>
      </c>
    </row>
    <row r="11" spans="1:10" ht="22.5" hidden="1" customHeight="1">
      <c r="A11" s="393"/>
      <c r="B11" s="438"/>
      <c r="C11" s="393"/>
      <c r="D11" s="936" t="s">
        <v>100</v>
      </c>
      <c r="E11" s="939" t="s">
        <v>323</v>
      </c>
      <c r="F11" s="938" t="str">
        <f>IF(region_name="","",region_name)</f>
        <v>Архангельская область</v>
      </c>
      <c r="G11" s="939" t="s">
        <v>324</v>
      </c>
      <c r="H11" s="411"/>
      <c r="J11" s="391">
        <v>0</v>
      </c>
    </row>
    <row r="12" spans="1:10" ht="22.5" hidden="1" customHeight="1">
      <c r="A12" s="393"/>
      <c r="B12" s="438"/>
      <c r="C12" s="393"/>
      <c r="D12" s="381" t="s">
        <v>100</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9" t="s">
        <v>325</v>
      </c>
      <c r="G12" s="410"/>
      <c r="H12" s="411"/>
      <c r="J12" s="391">
        <v>0</v>
      </c>
    </row>
    <row r="13" spans="1:10" ht="23.25" customHeight="1">
      <c r="A13" s="393"/>
      <c r="B13" s="438"/>
      <c r="C13" s="393"/>
      <c r="D13" s="381" t="s">
        <v>100</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1"/>
      <c r="J13" s="391">
        <v>22</v>
      </c>
    </row>
    <row r="14" spans="1:10" ht="22.5" hidden="1" customHeight="1">
      <c r="A14" s="393"/>
      <c r="B14" s="438"/>
      <c r="C14" s="393"/>
      <c r="D14" s="936" t="s">
        <v>326</v>
      </c>
      <c r="E14" s="937" t="s">
        <v>327</v>
      </c>
      <c r="F14" s="938" t="str">
        <f>IF(inn="","",inn)</f>
        <v>7606053324</v>
      </c>
      <c r="G14" s="939" t="s">
        <v>328</v>
      </c>
      <c r="H14" s="411"/>
      <c r="J14" s="391">
        <v>0</v>
      </c>
    </row>
    <row r="15" spans="1:10" ht="22.5" hidden="1" customHeight="1">
      <c r="A15" s="393"/>
      <c r="B15" s="438"/>
      <c r="C15" s="393"/>
      <c r="D15" s="936" t="s">
        <v>329</v>
      </c>
      <c r="E15" s="937" t="s">
        <v>330</v>
      </c>
      <c r="F15" s="938" t="str">
        <f>IF(kpp="","",kpp)</f>
        <v>760601001</v>
      </c>
      <c r="G15" s="939" t="s">
        <v>331</v>
      </c>
      <c r="H15" s="411"/>
      <c r="J15" s="391">
        <v>0</v>
      </c>
    </row>
    <row r="16" spans="1:10" ht="39" customHeight="1">
      <c r="A16" s="393"/>
      <c r="B16" s="438"/>
      <c r="C16" s="393"/>
      <c r="D16" s="381" t="s">
        <v>103</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91</v>
      </c>
      <c r="E17" s="378" t="str">
        <f>"Дата присвоения ОГРН"&amp;IF(TEMPLATE_SPHERE="TKO",""," (ОГРНИП)")</f>
        <v>Дата присвоения ОГРН (ОГРНИП)</v>
      </c>
      <c r="F17" s="1653" t="s">
        <v>22</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92</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459" t="s">
        <v>332</v>
      </c>
      <c r="B19" s="438"/>
      <c r="C19" s="2470"/>
      <c r="D19" s="381" t="str">
        <f>A19</f>
        <v>5.1</v>
      </c>
      <c r="E19" s="378" t="s">
        <v>333</v>
      </c>
      <c r="F19" s="379" t="s">
        <v>325</v>
      </c>
      <c r="G19" s="380" t="s">
        <v>334</v>
      </c>
      <c r="H19" s="411"/>
      <c r="I19" s="781"/>
      <c r="J19" s="391">
        <v>0</v>
      </c>
    </row>
    <row r="20" spans="1:10" ht="24" hidden="1" customHeight="1">
      <c r="A20" s="2459"/>
      <c r="B20" s="438"/>
      <c r="C20" s="2470"/>
      <c r="D20" s="376" t="str">
        <f>D19&amp;".1"</f>
        <v>5.1.1</v>
      </c>
      <c r="E20" s="375" t="s">
        <v>335</v>
      </c>
      <c r="F20" s="809" t="s">
        <v>22</v>
      </c>
      <c r="G20" s="410"/>
      <c r="H20" s="411"/>
      <c r="I20" s="781"/>
      <c r="J20" s="391">
        <v>0</v>
      </c>
    </row>
    <row r="21" spans="1:10" ht="22.5" hidden="1" customHeight="1">
      <c r="A21" s="2459"/>
      <c r="B21" s="438"/>
      <c r="C21" s="2470"/>
      <c r="D21" s="376" t="str">
        <f>D19&amp;".2"</f>
        <v>5.1.2</v>
      </c>
      <c r="E21" s="375" t="s">
        <v>336</v>
      </c>
      <c r="F21" s="1654" t="s">
        <v>22</v>
      </c>
      <c r="G21" s="380" t="s">
        <v>337</v>
      </c>
      <c r="H21" s="411"/>
      <c r="I21" s="781"/>
      <c r="J21" s="391">
        <v>0</v>
      </c>
    </row>
    <row r="22" spans="1:10" ht="22.5" hidden="1" customHeight="1">
      <c r="A22" s="2459"/>
      <c r="B22" s="438"/>
      <c r="C22" s="2470"/>
      <c r="D22" s="376" t="str">
        <f>D19&amp;".3"</f>
        <v>5.1.3</v>
      </c>
      <c r="E22" s="375" t="s">
        <v>338</v>
      </c>
      <c r="F22" s="809" t="s">
        <v>22</v>
      </c>
      <c r="G22" s="410"/>
      <c r="H22" s="411"/>
      <c r="I22" s="781"/>
      <c r="J22" s="391">
        <v>0</v>
      </c>
    </row>
    <row r="23" spans="1:10" ht="22.5" hidden="1" customHeight="1">
      <c r="A23" s="2459"/>
      <c r="B23" s="438"/>
      <c r="C23" s="2470"/>
      <c r="D23" s="376" t="str">
        <f>D19&amp;".4"</f>
        <v>5.1.4</v>
      </c>
      <c r="E23" s="375" t="s">
        <v>339</v>
      </c>
      <c r="F23" s="809" t="s">
        <v>22</v>
      </c>
      <c r="G23" s="380" t="s">
        <v>340</v>
      </c>
      <c r="H23" s="411"/>
      <c r="I23" s="781"/>
      <c r="J23" s="391">
        <v>0</v>
      </c>
    </row>
    <row r="24" spans="1:10" ht="22.5" hidden="1" customHeight="1">
      <c r="A24" s="1892"/>
      <c r="B24" s="438"/>
      <c r="C24" s="428"/>
      <c r="D24" s="403"/>
      <c r="E24" s="1091" t="s">
        <v>341</v>
      </c>
      <c r="F24" s="404"/>
      <c r="G24" s="405"/>
      <c r="H24" s="411"/>
      <c r="I24" s="781"/>
      <c r="J24" s="391">
        <v>0</v>
      </c>
    </row>
    <row r="25" spans="1:10" s="437" customFormat="1" ht="24.75" hidden="1" customHeight="1">
      <c r="A25" s="393"/>
      <c r="B25" s="438"/>
      <c r="C25" s="438"/>
      <c r="D25" s="933" t="s">
        <v>91</v>
      </c>
      <c r="E25" s="935" t="s">
        <v>342</v>
      </c>
      <c r="F25" s="940" t="s">
        <v>325</v>
      </c>
      <c r="G25" s="935"/>
      <c r="J25" s="437">
        <v>0</v>
      </c>
    </row>
    <row r="26" spans="1:10" s="437" customFormat="1" ht="11.25" hidden="1" customHeight="1">
      <c r="A26" s="393"/>
      <c r="B26" s="438"/>
      <c r="C26" s="438"/>
      <c r="D26" s="933" t="s">
        <v>343</v>
      </c>
      <c r="E26" s="934" t="s">
        <v>344</v>
      </c>
      <c r="F26" s="940" t="s">
        <v>325</v>
      </c>
      <c r="G26" s="935"/>
      <c r="J26" s="437">
        <v>0</v>
      </c>
    </row>
    <row r="27" spans="1:10" s="437" customFormat="1" ht="11.25" hidden="1" customHeight="1">
      <c r="A27" s="393"/>
      <c r="B27" s="438"/>
      <c r="C27" s="438"/>
      <c r="D27" s="933" t="s">
        <v>345</v>
      </c>
      <c r="E27" s="941" t="s">
        <v>346</v>
      </c>
      <c r="F27" s="942"/>
      <c r="G27" s="935"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3" t="s">
        <v>347</v>
      </c>
      <c r="E28" s="941" t="s">
        <v>348</v>
      </c>
      <c r="F28" s="942"/>
      <c r="G28" s="935"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3" t="s">
        <v>349</v>
      </c>
      <c r="E29" s="941" t="s">
        <v>350</v>
      </c>
      <c r="F29" s="942"/>
      <c r="G29" s="935"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3" t="s">
        <v>351</v>
      </c>
      <c r="E30" s="934" t="s">
        <v>352</v>
      </c>
      <c r="F30" s="942"/>
      <c r="G30" s="935"/>
      <c r="J30" s="437">
        <v>0</v>
      </c>
    </row>
    <row r="31" spans="1:10" s="437" customFormat="1" ht="11.25" hidden="1" customHeight="1">
      <c r="A31" s="393"/>
      <c r="B31" s="438"/>
      <c r="C31" s="438"/>
      <c r="D31" s="933" t="s">
        <v>353</v>
      </c>
      <c r="E31" s="934" t="s">
        <v>354</v>
      </c>
      <c r="F31" s="942"/>
      <c r="G31" s="935"/>
      <c r="J31" s="437">
        <v>0</v>
      </c>
    </row>
    <row r="32" spans="1:10" s="437" customFormat="1" ht="11.25" hidden="1" customHeight="1">
      <c r="A32" s="393"/>
      <c r="B32" s="438"/>
      <c r="C32" s="438"/>
      <c r="D32" s="933" t="s">
        <v>355</v>
      </c>
      <c r="E32" s="934" t="s">
        <v>356</v>
      </c>
      <c r="F32" s="943"/>
      <c r="G32" s="935"/>
      <c r="J32" s="437">
        <v>0</v>
      </c>
    </row>
    <row r="33" spans="1:10" ht="24" customHeight="1">
      <c r="A33" s="393" t="str">
        <f>IF(TEMPLATE_SPHERE="HEAT","6","5")</f>
        <v>6</v>
      </c>
      <c r="B33" s="438"/>
      <c r="C33" s="393"/>
      <c r="D33" s="376" t="str">
        <f>A33</f>
        <v>6</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9" t="s">
        <v>325</v>
      </c>
      <c r="G33" s="410"/>
      <c r="H33" s="411"/>
      <c r="J33" s="391">
        <v>23</v>
      </c>
    </row>
    <row r="34" spans="1:10" ht="23.25" customHeight="1">
      <c r="A34" s="393"/>
      <c r="B34" s="438"/>
      <c r="C34" s="393"/>
      <c r="D34" s="376" t="str">
        <f>D33&amp;".1"</f>
        <v>6.1</v>
      </c>
      <c r="E34" s="378" t="str">
        <f>"фамилия"&amp;IF(TEMPLATE_SPHERE&lt;&gt;"HEAT"," руководителя","")</f>
        <v>фамилия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1"/>
      <c r="J34" s="391">
        <v>22</v>
      </c>
    </row>
    <row r="35" spans="1:10" ht="23.25" customHeight="1">
      <c r="A35" s="393"/>
      <c r="B35" s="438"/>
      <c r="C35" s="393"/>
      <c r="D35" s="376" t="str">
        <f>D33&amp;".2"</f>
        <v>6.2</v>
      </c>
      <c r="E35" s="378" t="str">
        <f>"имя"&amp;IF(TEMPLATE_SPHERE&lt;&gt;"HEAT"," руководителя","")</f>
        <v>имя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1"/>
      <c r="J35" s="391">
        <v>22</v>
      </c>
    </row>
    <row r="36" spans="1:10" ht="24" customHeight="1">
      <c r="A36" s="393"/>
      <c r="B36" s="438"/>
      <c r="C36" s="393"/>
      <c r="D36" s="376" t="str">
        <f>D33&amp;".3"</f>
        <v>6.3</v>
      </c>
      <c r="E36" s="378" t="str">
        <f>"отчество"&amp;IF(TEMPLATE_SPHERE&lt;&gt;"HEAT"," руководителя","")</f>
        <v>отчество</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1"/>
      <c r="J36" s="391">
        <v>23</v>
      </c>
    </row>
    <row r="37" spans="1:10" ht="35.65" customHeight="1">
      <c r="A37" s="393"/>
      <c r="B37" s="438"/>
      <c r="C37" s="393"/>
      <c r="D37" s="376">
        <f>D33+1</f>
        <v>7</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7"/>
      <c r="G37" s="380" t="s">
        <v>357</v>
      </c>
      <c r="H37" s="411"/>
      <c r="J37" s="391">
        <v>34</v>
      </c>
    </row>
    <row r="38" spans="1:10" ht="35.65" customHeight="1">
      <c r="A38" s="393"/>
      <c r="B38" s="438"/>
      <c r="C38" s="393"/>
      <c r="D38" s="376">
        <f>D37+1</f>
        <v>8</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7"/>
      <c r="G38" s="380" t="s">
        <v>357</v>
      </c>
      <c r="H38" s="411"/>
      <c r="J38" s="391">
        <v>34</v>
      </c>
    </row>
    <row r="39" spans="1:10" ht="23.25" customHeight="1">
      <c r="A39" s="393"/>
      <c r="B39" s="438"/>
      <c r="C39" s="393"/>
      <c r="D39" s="376">
        <f>D38+1</f>
        <v>9</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9" t="s">
        <v>325</v>
      </c>
      <c r="G39" s="246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9.0</v>
      </c>
      <c r="E40" s="1528"/>
      <c r="F40" s="809"/>
      <c r="G40" s="2468"/>
      <c r="H40" s="411"/>
      <c r="J40" s="391">
        <v>0</v>
      </c>
    </row>
    <row r="41" spans="1:10" ht="23.25" customHeight="1">
      <c r="A41" s="393"/>
      <c r="B41" s="393"/>
      <c r="C41" s="1610"/>
      <c r="D41" s="376" t="str">
        <f>D39&amp;".1"</f>
        <v>9.1</v>
      </c>
      <c r="E41" s="789"/>
      <c r="F41" s="790"/>
      <c r="G41" s="2468"/>
      <c r="H41" s="411"/>
      <c r="J41" s="391">
        <v>22</v>
      </c>
    </row>
    <row r="42" spans="1:10" ht="15.75" customHeight="1">
      <c r="A42" s="393"/>
      <c r="B42" s="438"/>
      <c r="C42" s="393"/>
      <c r="D42" s="403"/>
      <c r="E42" s="351" t="s">
        <v>358</v>
      </c>
      <c r="F42" s="405"/>
      <c r="G42" s="2469"/>
      <c r="H42" s="412"/>
      <c r="J42" s="391">
        <v>15</v>
      </c>
    </row>
    <row r="43" spans="1:10" ht="27.4" customHeight="1">
      <c r="A43" s="393"/>
      <c r="B43" s="438"/>
      <c r="C43" s="393"/>
      <c r="D43" s="376">
        <f>D39+1</f>
        <v>10</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1"/>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11</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4"/>
      <c r="G44" s="410" t="s">
        <v>359</v>
      </c>
      <c r="H44" s="411"/>
      <c r="J44" s="391">
        <v>22</v>
      </c>
    </row>
    <row r="45" spans="1:10" ht="23.25" customHeight="1">
      <c r="A45" s="393"/>
      <c r="B45" s="438"/>
      <c r="C45" s="393"/>
      <c r="D45" s="376">
        <f>D44+1</f>
        <v>12</v>
      </c>
      <c r="E45" s="374" t="s">
        <v>360</v>
      </c>
      <c r="F45" s="379" t="s">
        <v>325</v>
      </c>
      <c r="G45" s="373" t="str">
        <f>IF(TEMPLATE_SPHERE="TKO","Указывается режим работы организации.","")</f>
        <v/>
      </c>
      <c r="H45" s="411"/>
      <c r="J45" s="391">
        <v>22</v>
      </c>
    </row>
    <row r="46" spans="1:10" ht="24" customHeight="1">
      <c r="A46" s="393"/>
      <c r="B46" s="438"/>
      <c r="C46" s="393"/>
      <c r="D46" s="376" t="str">
        <f>D45&amp;".1"</f>
        <v>12.1</v>
      </c>
      <c r="E46" s="378" t="str">
        <f>"режим работы регулируемой организации"&amp;IF(TEMPLATE_SPHERE="HEAT",", ЕТО, ТО","")</f>
        <v>режим работы регулируемой организации, ЕТО, ТО</v>
      </c>
      <c r="F46" s="1606"/>
      <c r="G46" s="373" t="s">
        <v>361</v>
      </c>
      <c r="H46" s="411"/>
      <c r="J46" s="391">
        <v>23</v>
      </c>
    </row>
    <row r="47" spans="1:10" ht="24" customHeight="1">
      <c r="A47" s="2459"/>
      <c r="B47" s="438"/>
      <c r="C47" s="428"/>
      <c r="D47" s="376" t="str">
        <f>D45&amp;".2"</f>
        <v>12.2</v>
      </c>
      <c r="E47" s="378" t="s">
        <v>362</v>
      </c>
      <c r="F47" s="426"/>
      <c r="G47" s="373" t="s">
        <v>363</v>
      </c>
      <c r="H47" s="411"/>
      <c r="J47" s="391">
        <v>23</v>
      </c>
    </row>
    <row r="48" spans="1:10" ht="24" customHeight="1">
      <c r="A48" s="2459"/>
      <c r="B48" s="438"/>
      <c r="C48" s="428"/>
      <c r="D48" s="376" t="str">
        <f>D45&amp;".3"</f>
        <v>12.3</v>
      </c>
      <c r="E48" s="378" t="s">
        <v>364</v>
      </c>
      <c r="F48" s="426"/>
      <c r="G48" s="373" t="s">
        <v>365</v>
      </c>
      <c r="H48" s="411"/>
      <c r="J48" s="391">
        <v>23</v>
      </c>
    </row>
    <row r="49" spans="1:10" ht="24" customHeight="1">
      <c r="A49" s="2459"/>
      <c r="B49" s="438"/>
      <c r="C49" s="428"/>
      <c r="D49" s="376" t="str">
        <f>IF(TEMPLATE_SPHERE="TKO",D45&amp;".0",D45&amp;".4")</f>
        <v>12.4</v>
      </c>
      <c r="E49" s="372" t="s">
        <v>366</v>
      </c>
      <c r="F49" s="1607"/>
      <c r="G49" s="1683" t="s">
        <v>367</v>
      </c>
      <c r="H49" s="411"/>
      <c r="J49" s="391">
        <v>23</v>
      </c>
    </row>
    <row r="50" spans="1:10" ht="24" customHeight="1">
      <c r="A50" s="393"/>
      <c r="B50" s="438"/>
      <c r="C50" s="393"/>
      <c r="D50" s="403"/>
      <c r="E50" s="351" t="s">
        <v>368</v>
      </c>
      <c r="F50" s="404"/>
      <c r="G50" s="1683" t="s">
        <v>369</v>
      </c>
      <c r="H50" s="412"/>
      <c r="J50" s="391">
        <v>23</v>
      </c>
    </row>
    <row r="51" spans="1:10" ht="24" customHeight="1">
      <c r="A51" s="787"/>
      <c r="B51" s="438"/>
      <c r="C51" s="428"/>
      <c r="D51" s="376">
        <f>D45+1</f>
        <v>13</v>
      </c>
      <c r="E51" s="464" t="s">
        <v>370</v>
      </c>
      <c r="F51" s="426"/>
      <c r="G51" s="161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1"/>
      <c r="J51" s="391">
        <v>23</v>
      </c>
    </row>
    <row r="52" spans="1:10" ht="11.45" customHeight="1">
      <c r="A52" s="393"/>
      <c r="B52" s="438"/>
      <c r="C52" s="393"/>
      <c r="J52" s="391">
        <v>11</v>
      </c>
    </row>
    <row r="53" spans="1:10" s="396" customFormat="1" ht="31.5" customHeight="1">
      <c r="A53" s="1609"/>
      <c r="B53" s="439"/>
      <c r="C53" s="2460"/>
      <c r="D53" s="246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463"/>
      <c r="F53" s="2463"/>
      <c r="G53" s="2463"/>
      <c r="H53" s="390"/>
      <c r="I53" s="390"/>
      <c r="J53" s="396">
        <v>30</v>
      </c>
    </row>
    <row r="54" spans="1:10" s="396" customFormat="1" ht="42" customHeight="1">
      <c r="A54" s="393"/>
      <c r="B54" s="438"/>
      <c r="C54" s="2460"/>
      <c r="D54" s="2463"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463"/>
      <c r="F54" s="2463"/>
      <c r="G54" s="2463"/>
      <c r="J54" s="396">
        <v>40</v>
      </c>
    </row>
    <row r="55" spans="1:10" ht="11.45" customHeight="1">
      <c r="D55" s="394"/>
      <c r="E55" s="395"/>
      <c r="F55" s="395"/>
      <c r="G55" s="395"/>
      <c r="J55" s="391">
        <v>11</v>
      </c>
    </row>
    <row r="56" spans="1:10" ht="28.5" customHeight="1">
      <c r="D56" s="397"/>
      <c r="E56" s="394"/>
      <c r="F56" s="406"/>
      <c r="G56" s="406"/>
      <c r="J56" s="391">
        <v>27</v>
      </c>
    </row>
    <row r="57" spans="1:10" ht="11.45" customHeight="1">
      <c r="D57" s="394"/>
      <c r="E57" s="394"/>
      <c r="F57" s="395"/>
      <c r="G57" s="395"/>
      <c r="J57" s="391">
        <v>11</v>
      </c>
    </row>
    <row r="58" spans="1:10" ht="40.9" customHeight="1">
      <c r="D58" s="398"/>
      <c r="E58" s="407"/>
      <c r="F58" s="407"/>
      <c r="G58" s="407"/>
      <c r="J58" s="391">
        <v>39</v>
      </c>
    </row>
    <row r="59" spans="1:10" ht="28.5" customHeight="1">
      <c r="D59" s="398"/>
      <c r="E59" s="407"/>
      <c r="F59" s="407"/>
      <c r="G59" s="407"/>
      <c r="J59" s="391">
        <v>27</v>
      </c>
    </row>
    <row r="60" spans="1:10" ht="11.25" hidden="1" customHeight="1">
      <c r="A60" s="1608" t="s">
        <v>83</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2047" t="s">
        <v>2402</v>
      </c>
      <c r="B1" s="2048" t="s">
        <v>2403</v>
      </c>
      <c r="C1" s="2794" t="s">
        <v>2404</v>
      </c>
      <c r="D1" s="2795"/>
      <c r="E1" s="765" t="s">
        <v>2405</v>
      </c>
    </row>
    <row r="2" spans="1:5" ht="11.25" customHeight="1">
      <c r="A2" s="2049"/>
      <c r="B2" s="698" t="s">
        <v>27</v>
      </c>
      <c r="C2" s="688"/>
      <c r="D2" s="697"/>
      <c r="E2" s="765"/>
    </row>
    <row r="3" spans="1:5" ht="11.25" customHeight="1">
      <c r="A3" s="2050"/>
      <c r="B3" s="2051" t="s">
        <v>33</v>
      </c>
      <c r="C3" s="688"/>
      <c r="D3" s="697"/>
      <c r="E3" s="765"/>
    </row>
    <row r="4" spans="1:5" ht="11.25" customHeight="1">
      <c r="A4" s="2052"/>
      <c r="B4" s="699" t="s">
        <v>1852</v>
      </c>
      <c r="C4" s="688"/>
      <c r="D4" s="697"/>
      <c r="E4" s="765"/>
    </row>
    <row r="5" spans="1:5" ht="11.25" customHeight="1">
      <c r="A5" s="2053"/>
      <c r="B5" s="699" t="s">
        <v>1847</v>
      </c>
      <c r="C5" s="2054" t="s">
        <v>2172</v>
      </c>
      <c r="D5" s="2055" t="s">
        <v>2406</v>
      </c>
      <c r="E5" s="765"/>
    </row>
    <row r="6" spans="1:5" s="1767" customFormat="1" ht="11.25" customHeight="1">
      <c r="A6" s="2056"/>
      <c r="B6" s="699" t="s">
        <v>1856</v>
      </c>
      <c r="C6" s="688"/>
      <c r="D6" s="697"/>
      <c r="E6" s="765"/>
    </row>
    <row r="7" spans="1:5" ht="11.25" customHeight="1">
      <c r="A7" s="2057"/>
      <c r="B7" s="699" t="s">
        <v>1864</v>
      </c>
      <c r="C7" s="688"/>
      <c r="D7" s="697"/>
      <c r="E7" s="765"/>
    </row>
    <row r="8" spans="1:5" ht="11.25" customHeight="1">
      <c r="A8" s="690"/>
      <c r="B8" s="699" t="s">
        <v>1859</v>
      </c>
      <c r="C8" s="688"/>
      <c r="D8" s="697"/>
      <c r="E8" s="765"/>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635"/>
  <sheetViews>
    <sheetView showGridLines="0" workbookViewId="0"/>
  </sheetViews>
  <sheetFormatPr defaultColWidth="9.140625" defaultRowHeight="11.25" customHeight="1"/>
  <cols>
    <col min="1" max="2" width="9.140625" style="1767"/>
  </cols>
  <sheetData>
    <row r="1" spans="1:9" ht="11.25" customHeight="1">
      <c r="A1" s="7" t="s">
        <v>2407</v>
      </c>
      <c r="B1" s="7" t="s">
        <v>2408</v>
      </c>
      <c r="C1" s="2" t="s">
        <v>2409</v>
      </c>
      <c r="D1" s="2" t="s">
        <v>2410</v>
      </c>
      <c r="E1" s="2" t="s">
        <v>2411</v>
      </c>
      <c r="F1" s="2" t="s">
        <v>2412</v>
      </c>
      <c r="G1" s="2" t="s">
        <v>2413</v>
      </c>
      <c r="H1" s="2" t="s">
        <v>2414</v>
      </c>
      <c r="I1" s="2" t="s">
        <v>2415</v>
      </c>
    </row>
    <row r="2" spans="1:9" ht="11.25" customHeight="1">
      <c r="A2" s="1767" t="s">
        <v>2416</v>
      </c>
      <c r="B2" s="1767" t="s">
        <v>16</v>
      </c>
      <c r="C2" s="2" t="s">
        <v>22</v>
      </c>
      <c r="D2" s="2" t="s">
        <v>2417</v>
      </c>
      <c r="E2" s="2" t="s">
        <v>2418</v>
      </c>
      <c r="F2" s="2" t="s">
        <v>2419</v>
      </c>
      <c r="G2" s="2" t="s">
        <v>22</v>
      </c>
      <c r="H2" s="2" t="s">
        <v>22</v>
      </c>
      <c r="I2" s="2" t="s">
        <v>971</v>
      </c>
    </row>
    <row r="3" spans="1:9" ht="11.25" customHeight="1">
      <c r="A3" s="1767" t="s">
        <v>2416</v>
      </c>
      <c r="B3" s="1767" t="s">
        <v>16</v>
      </c>
      <c r="C3" t="s">
        <v>2420</v>
      </c>
      <c r="D3" t="s">
        <v>2421</v>
      </c>
      <c r="E3" t="s">
        <v>2422</v>
      </c>
      <c r="F3" t="s">
        <v>2423</v>
      </c>
      <c r="G3" t="s">
        <v>2424</v>
      </c>
      <c r="H3" t="s">
        <v>22</v>
      </c>
      <c r="I3" t="s">
        <v>971</v>
      </c>
    </row>
    <row r="4" spans="1:9" ht="11.25" customHeight="1">
      <c r="A4" s="1767" t="s">
        <v>2416</v>
      </c>
      <c r="B4" s="1767" t="s">
        <v>16</v>
      </c>
      <c r="C4" t="s">
        <v>2425</v>
      </c>
      <c r="D4" t="s">
        <v>2426</v>
      </c>
      <c r="E4" t="s">
        <v>2427</v>
      </c>
      <c r="F4" t="s">
        <v>2419</v>
      </c>
      <c r="G4" t="s">
        <v>2428</v>
      </c>
      <c r="H4" t="s">
        <v>22</v>
      </c>
      <c r="I4" t="s">
        <v>971</v>
      </c>
    </row>
    <row r="5" spans="1:9" ht="11.25" customHeight="1">
      <c r="A5" s="1767" t="s">
        <v>2416</v>
      </c>
      <c r="B5" s="1767" t="s">
        <v>16</v>
      </c>
      <c r="C5" t="s">
        <v>2429</v>
      </c>
      <c r="D5" t="s">
        <v>2430</v>
      </c>
      <c r="E5" t="s">
        <v>2431</v>
      </c>
      <c r="F5" t="s">
        <v>2432</v>
      </c>
      <c r="G5" t="s">
        <v>2433</v>
      </c>
      <c r="H5" t="s">
        <v>22</v>
      </c>
      <c r="I5" t="s">
        <v>971</v>
      </c>
    </row>
    <row r="6" spans="1:9" ht="11.25" customHeight="1">
      <c r="A6" s="1767" t="s">
        <v>2416</v>
      </c>
      <c r="B6" s="1767" t="s">
        <v>16</v>
      </c>
      <c r="C6" t="s">
        <v>2434</v>
      </c>
      <c r="D6" t="s">
        <v>2435</v>
      </c>
      <c r="E6" t="s">
        <v>2436</v>
      </c>
      <c r="F6" t="s">
        <v>2437</v>
      </c>
      <c r="G6" t="s">
        <v>2438</v>
      </c>
      <c r="H6" t="s">
        <v>22</v>
      </c>
      <c r="I6" t="s">
        <v>971</v>
      </c>
    </row>
    <row r="7" spans="1:9" ht="11.25" customHeight="1">
      <c r="A7" s="1767" t="s">
        <v>2416</v>
      </c>
      <c r="B7" s="1767" t="s">
        <v>16</v>
      </c>
      <c r="C7" t="s">
        <v>2439</v>
      </c>
      <c r="D7" t="s">
        <v>2440</v>
      </c>
      <c r="E7" t="s">
        <v>2441</v>
      </c>
      <c r="F7" t="s">
        <v>2419</v>
      </c>
      <c r="G7" t="s">
        <v>2442</v>
      </c>
      <c r="H7" t="s">
        <v>22</v>
      </c>
      <c r="I7" t="s">
        <v>971</v>
      </c>
    </row>
    <row r="8" spans="1:9" ht="11.25" customHeight="1">
      <c r="A8" s="1767" t="s">
        <v>2416</v>
      </c>
      <c r="B8" s="1767" t="s">
        <v>16</v>
      </c>
      <c r="C8" t="s">
        <v>2443</v>
      </c>
      <c r="D8" t="s">
        <v>2444</v>
      </c>
      <c r="E8" t="s">
        <v>2445</v>
      </c>
      <c r="F8" t="s">
        <v>2419</v>
      </c>
      <c r="G8" t="s">
        <v>2446</v>
      </c>
      <c r="H8" t="s">
        <v>22</v>
      </c>
      <c r="I8" t="s">
        <v>971</v>
      </c>
    </row>
    <row r="9" spans="1:9" ht="11.25" customHeight="1">
      <c r="A9" s="1767" t="s">
        <v>2416</v>
      </c>
      <c r="B9" s="1767" t="s">
        <v>16</v>
      </c>
      <c r="C9" t="s">
        <v>2447</v>
      </c>
      <c r="D9" t="s">
        <v>2448</v>
      </c>
      <c r="E9" t="s">
        <v>2449</v>
      </c>
      <c r="F9" t="s">
        <v>2450</v>
      </c>
      <c r="G9" t="s">
        <v>2451</v>
      </c>
      <c r="H9" t="s">
        <v>22</v>
      </c>
      <c r="I9" t="s">
        <v>971</v>
      </c>
    </row>
    <row r="10" spans="1:9" ht="11.25" customHeight="1">
      <c r="A10" s="1767" t="s">
        <v>2416</v>
      </c>
      <c r="B10" s="1767" t="s">
        <v>16</v>
      </c>
      <c r="C10" t="s">
        <v>2452</v>
      </c>
      <c r="D10" t="s">
        <v>2453</v>
      </c>
      <c r="E10" t="s">
        <v>2454</v>
      </c>
      <c r="F10" t="s">
        <v>2455</v>
      </c>
      <c r="G10" t="s">
        <v>2456</v>
      </c>
      <c r="H10" t="s">
        <v>22</v>
      </c>
      <c r="I10" t="s">
        <v>971</v>
      </c>
    </row>
    <row r="11" spans="1:9" ht="11.25" customHeight="1">
      <c r="A11" s="1767" t="s">
        <v>2416</v>
      </c>
      <c r="B11" s="1767" t="s">
        <v>16</v>
      </c>
      <c r="C11" t="s">
        <v>2457</v>
      </c>
      <c r="D11" t="s">
        <v>2453</v>
      </c>
      <c r="E11" t="s">
        <v>2454</v>
      </c>
      <c r="F11" t="s">
        <v>2458</v>
      </c>
      <c r="G11" t="s">
        <v>22</v>
      </c>
      <c r="H11" t="s">
        <v>22</v>
      </c>
      <c r="I11" t="s">
        <v>971</v>
      </c>
    </row>
    <row r="12" spans="1:9" ht="11.25" customHeight="1">
      <c r="A12" s="1767" t="s">
        <v>2416</v>
      </c>
      <c r="B12" s="1767" t="s">
        <v>16</v>
      </c>
      <c r="C12" t="s">
        <v>2459</v>
      </c>
      <c r="D12" t="s">
        <v>2460</v>
      </c>
      <c r="E12" t="s">
        <v>2461</v>
      </c>
      <c r="F12" t="s">
        <v>2462</v>
      </c>
      <c r="G12" t="s">
        <v>22</v>
      </c>
      <c r="H12" t="s">
        <v>22</v>
      </c>
      <c r="I12" t="s">
        <v>971</v>
      </c>
    </row>
    <row r="13" spans="1:9" ht="11.25" customHeight="1">
      <c r="A13" s="1767" t="s">
        <v>2416</v>
      </c>
      <c r="B13" s="1767" t="s">
        <v>16</v>
      </c>
      <c r="C13" t="s">
        <v>2463</v>
      </c>
      <c r="D13" t="s">
        <v>2464</v>
      </c>
      <c r="E13" t="s">
        <v>2465</v>
      </c>
      <c r="F13" t="s">
        <v>2466</v>
      </c>
      <c r="G13" t="s">
        <v>2467</v>
      </c>
      <c r="H13" t="s">
        <v>22</v>
      </c>
      <c r="I13" t="s">
        <v>971</v>
      </c>
    </row>
    <row r="14" spans="1:9" ht="11.25" customHeight="1">
      <c r="A14" s="1767" t="s">
        <v>2416</v>
      </c>
      <c r="B14" s="1767" t="s">
        <v>16</v>
      </c>
      <c r="C14" t="s">
        <v>2468</v>
      </c>
      <c r="D14" t="s">
        <v>2469</v>
      </c>
      <c r="E14" t="s">
        <v>2470</v>
      </c>
      <c r="F14" t="s">
        <v>2471</v>
      </c>
      <c r="G14" t="s">
        <v>2472</v>
      </c>
      <c r="H14" t="s">
        <v>22</v>
      </c>
      <c r="I14" t="s">
        <v>971</v>
      </c>
    </row>
    <row r="15" spans="1:9" ht="11.25" customHeight="1">
      <c r="A15" s="1767" t="s">
        <v>2416</v>
      </c>
      <c r="B15" s="1767" t="s">
        <v>16</v>
      </c>
      <c r="C15" t="s">
        <v>2473</v>
      </c>
      <c r="D15" t="s">
        <v>2474</v>
      </c>
      <c r="E15" t="s">
        <v>2475</v>
      </c>
      <c r="F15" t="s">
        <v>2476</v>
      </c>
      <c r="G15" t="s">
        <v>2477</v>
      </c>
      <c r="H15" t="s">
        <v>22</v>
      </c>
      <c r="I15" t="s">
        <v>971</v>
      </c>
    </row>
    <row r="16" spans="1:9" ht="11.25" customHeight="1">
      <c r="A16" s="1767" t="s">
        <v>2416</v>
      </c>
      <c r="B16" s="1767" t="s">
        <v>16</v>
      </c>
      <c r="C16" t="s">
        <v>2478</v>
      </c>
      <c r="D16" t="s">
        <v>2479</v>
      </c>
      <c r="E16" t="s">
        <v>2480</v>
      </c>
      <c r="F16" t="s">
        <v>2481</v>
      </c>
      <c r="G16" t="s">
        <v>2482</v>
      </c>
      <c r="H16" t="s">
        <v>22</v>
      </c>
      <c r="I16" t="s">
        <v>971</v>
      </c>
    </row>
    <row r="17" spans="1:9" ht="11.25" customHeight="1">
      <c r="A17" s="1767" t="s">
        <v>2416</v>
      </c>
      <c r="B17" s="1767" t="s">
        <v>16</v>
      </c>
      <c r="C17" t="s">
        <v>2483</v>
      </c>
      <c r="D17" t="s">
        <v>2484</v>
      </c>
      <c r="E17" t="s">
        <v>2485</v>
      </c>
      <c r="F17" t="s">
        <v>2481</v>
      </c>
      <c r="G17" t="s">
        <v>2486</v>
      </c>
      <c r="H17" t="s">
        <v>22</v>
      </c>
      <c r="I17" t="s">
        <v>971</v>
      </c>
    </row>
    <row r="18" spans="1:9" ht="11.25" customHeight="1">
      <c r="A18" s="1767" t="s">
        <v>2416</v>
      </c>
      <c r="B18" s="1767" t="s">
        <v>16</v>
      </c>
      <c r="C18" t="s">
        <v>2487</v>
      </c>
      <c r="D18" t="s">
        <v>2488</v>
      </c>
      <c r="E18" t="s">
        <v>2489</v>
      </c>
      <c r="F18" t="s">
        <v>2490</v>
      </c>
      <c r="G18" t="s">
        <v>2491</v>
      </c>
      <c r="H18" t="s">
        <v>22</v>
      </c>
      <c r="I18" t="s">
        <v>971</v>
      </c>
    </row>
    <row r="19" spans="1:9" ht="11.25" customHeight="1">
      <c r="A19" s="1767" t="s">
        <v>2416</v>
      </c>
      <c r="B19" s="1767" t="s">
        <v>16</v>
      </c>
      <c r="C19" t="s">
        <v>2492</v>
      </c>
      <c r="D19" t="s">
        <v>2493</v>
      </c>
      <c r="E19" t="s">
        <v>2494</v>
      </c>
      <c r="F19" t="s">
        <v>2437</v>
      </c>
      <c r="G19" t="s">
        <v>2495</v>
      </c>
      <c r="H19" t="s">
        <v>22</v>
      </c>
      <c r="I19" t="s">
        <v>971</v>
      </c>
    </row>
    <row r="20" spans="1:9" ht="11.25" customHeight="1">
      <c r="A20" s="1767" t="s">
        <v>2416</v>
      </c>
      <c r="B20" s="1767" t="s">
        <v>16</v>
      </c>
      <c r="C20" t="s">
        <v>2496</v>
      </c>
      <c r="D20" t="s">
        <v>2497</v>
      </c>
      <c r="E20" t="s">
        <v>2498</v>
      </c>
      <c r="F20" t="s">
        <v>2490</v>
      </c>
      <c r="G20" t="s">
        <v>2499</v>
      </c>
      <c r="H20" t="s">
        <v>22</v>
      </c>
      <c r="I20" t="s">
        <v>971</v>
      </c>
    </row>
    <row r="21" spans="1:9" ht="11.25" customHeight="1">
      <c r="A21" s="1767" t="s">
        <v>2416</v>
      </c>
      <c r="B21" s="1767" t="s">
        <v>16</v>
      </c>
      <c r="C21" t="s">
        <v>2500</v>
      </c>
      <c r="D21" t="s">
        <v>2501</v>
      </c>
      <c r="E21" t="s">
        <v>2502</v>
      </c>
      <c r="F21" t="s">
        <v>2490</v>
      </c>
      <c r="G21" t="s">
        <v>2503</v>
      </c>
      <c r="H21" t="s">
        <v>22</v>
      </c>
      <c r="I21" t="s">
        <v>971</v>
      </c>
    </row>
    <row r="22" spans="1:9" ht="11.25" customHeight="1">
      <c r="A22" s="1767" t="s">
        <v>2416</v>
      </c>
      <c r="B22" s="1767" t="s">
        <v>16</v>
      </c>
      <c r="C22" t="s">
        <v>2504</v>
      </c>
      <c r="D22" t="s">
        <v>2505</v>
      </c>
      <c r="E22" t="s">
        <v>2506</v>
      </c>
      <c r="F22" t="s">
        <v>2507</v>
      </c>
      <c r="G22" t="s">
        <v>2508</v>
      </c>
      <c r="H22" t="s">
        <v>22</v>
      </c>
      <c r="I22" t="s">
        <v>971</v>
      </c>
    </row>
    <row r="23" spans="1:9" ht="11.25" customHeight="1">
      <c r="A23" s="1767" t="s">
        <v>2416</v>
      </c>
      <c r="B23" s="1767" t="s">
        <v>16</v>
      </c>
      <c r="C23" t="s">
        <v>2509</v>
      </c>
      <c r="D23" t="s">
        <v>2510</v>
      </c>
      <c r="E23" t="s">
        <v>2511</v>
      </c>
      <c r="F23" t="s">
        <v>2512</v>
      </c>
      <c r="G23" t="s">
        <v>22</v>
      </c>
      <c r="H23" t="s">
        <v>22</v>
      </c>
      <c r="I23" t="s">
        <v>971</v>
      </c>
    </row>
    <row r="24" spans="1:9" ht="11.25" customHeight="1">
      <c r="A24" s="1767" t="s">
        <v>2416</v>
      </c>
      <c r="B24" s="1767" t="s">
        <v>16</v>
      </c>
      <c r="C24" t="s">
        <v>2513</v>
      </c>
      <c r="D24" t="s">
        <v>2514</v>
      </c>
      <c r="E24" t="s">
        <v>2441</v>
      </c>
      <c r="F24" t="s">
        <v>2455</v>
      </c>
      <c r="G24" t="s">
        <v>2515</v>
      </c>
      <c r="H24" t="s">
        <v>22</v>
      </c>
      <c r="I24" t="s">
        <v>971</v>
      </c>
    </row>
    <row r="25" spans="1:9" ht="11.25" customHeight="1">
      <c r="A25" s="1767" t="s">
        <v>2416</v>
      </c>
      <c r="B25" s="1767" t="s">
        <v>16</v>
      </c>
      <c r="C25" t="s">
        <v>2516</v>
      </c>
      <c r="D25" t="s">
        <v>2517</v>
      </c>
      <c r="E25" t="s">
        <v>2518</v>
      </c>
      <c r="F25" t="s">
        <v>2519</v>
      </c>
      <c r="G25" t="s">
        <v>2520</v>
      </c>
      <c r="H25" t="s">
        <v>22</v>
      </c>
      <c r="I25" t="s">
        <v>971</v>
      </c>
    </row>
    <row r="26" spans="1:9" ht="11.25" customHeight="1">
      <c r="A26" s="1767" t="s">
        <v>2416</v>
      </c>
      <c r="B26" s="1767" t="s">
        <v>16</v>
      </c>
      <c r="C26" t="s">
        <v>2521</v>
      </c>
      <c r="D26" t="s">
        <v>2522</v>
      </c>
      <c r="E26" t="s">
        <v>2441</v>
      </c>
      <c r="F26" t="s">
        <v>2523</v>
      </c>
      <c r="G26" t="s">
        <v>2442</v>
      </c>
      <c r="H26" t="s">
        <v>22</v>
      </c>
      <c r="I26" t="s">
        <v>971</v>
      </c>
    </row>
    <row r="27" spans="1:9" ht="11.25" customHeight="1">
      <c r="A27" s="1767" t="s">
        <v>2416</v>
      </c>
      <c r="B27" s="1767" t="s">
        <v>16</v>
      </c>
      <c r="C27" t="s">
        <v>2524</v>
      </c>
      <c r="D27" t="s">
        <v>2525</v>
      </c>
      <c r="E27" t="s">
        <v>2526</v>
      </c>
      <c r="F27" t="s">
        <v>2527</v>
      </c>
      <c r="G27" t="s">
        <v>2528</v>
      </c>
      <c r="H27" t="s">
        <v>22</v>
      </c>
      <c r="I27" t="s">
        <v>971</v>
      </c>
    </row>
    <row r="28" spans="1:9" ht="11.25" customHeight="1">
      <c r="A28" s="1767" t="s">
        <v>2416</v>
      </c>
      <c r="B28" s="1767" t="s">
        <v>16</v>
      </c>
      <c r="C28" t="s">
        <v>2529</v>
      </c>
      <c r="D28" t="s">
        <v>2530</v>
      </c>
      <c r="E28" t="s">
        <v>2531</v>
      </c>
      <c r="F28" t="s">
        <v>2419</v>
      </c>
      <c r="G28" t="s">
        <v>2532</v>
      </c>
      <c r="H28" t="s">
        <v>22</v>
      </c>
      <c r="I28" t="s">
        <v>971</v>
      </c>
    </row>
    <row r="29" spans="1:9" ht="11.25" customHeight="1">
      <c r="A29" s="1767" t="s">
        <v>2416</v>
      </c>
      <c r="B29" s="1767" t="s">
        <v>16</v>
      </c>
      <c r="C29" t="s">
        <v>2533</v>
      </c>
      <c r="D29" t="s">
        <v>2534</v>
      </c>
      <c r="E29" t="s">
        <v>2535</v>
      </c>
      <c r="F29" t="s">
        <v>2471</v>
      </c>
      <c r="G29" t="s">
        <v>2536</v>
      </c>
      <c r="H29" t="s">
        <v>22</v>
      </c>
      <c r="I29" t="s">
        <v>971</v>
      </c>
    </row>
    <row r="30" spans="1:9" ht="11.25" customHeight="1">
      <c r="A30" s="1767" t="s">
        <v>2416</v>
      </c>
      <c r="B30" s="1767" t="s">
        <v>16</v>
      </c>
      <c r="C30" t="s">
        <v>2537</v>
      </c>
      <c r="D30" t="s">
        <v>2538</v>
      </c>
      <c r="E30" t="s">
        <v>2539</v>
      </c>
      <c r="F30" t="s">
        <v>2540</v>
      </c>
      <c r="G30" t="s">
        <v>2520</v>
      </c>
      <c r="H30" t="s">
        <v>22</v>
      </c>
      <c r="I30" t="s">
        <v>971</v>
      </c>
    </row>
    <row r="31" spans="1:9" ht="11.25" customHeight="1">
      <c r="A31" s="1767" t="s">
        <v>2416</v>
      </c>
      <c r="B31" s="1767" t="s">
        <v>16</v>
      </c>
      <c r="C31" t="s">
        <v>2541</v>
      </c>
      <c r="D31" t="s">
        <v>2542</v>
      </c>
      <c r="E31" t="s">
        <v>2543</v>
      </c>
      <c r="F31" t="s">
        <v>2419</v>
      </c>
      <c r="G31" t="s">
        <v>2544</v>
      </c>
      <c r="H31" t="s">
        <v>22</v>
      </c>
      <c r="I31" t="s">
        <v>971</v>
      </c>
    </row>
    <row r="32" spans="1:9" ht="11.25" customHeight="1">
      <c r="A32" s="1767" t="s">
        <v>2416</v>
      </c>
      <c r="B32" s="1767" t="s">
        <v>16</v>
      </c>
      <c r="C32" t="s">
        <v>2545</v>
      </c>
      <c r="D32" t="s">
        <v>2546</v>
      </c>
      <c r="E32" t="s">
        <v>2547</v>
      </c>
      <c r="F32" t="s">
        <v>2548</v>
      </c>
      <c r="G32" t="s">
        <v>22</v>
      </c>
      <c r="H32" t="s">
        <v>22</v>
      </c>
      <c r="I32" t="s">
        <v>971</v>
      </c>
    </row>
    <row r="33" spans="1:9" ht="11.25" customHeight="1">
      <c r="A33" s="1767" t="s">
        <v>2416</v>
      </c>
      <c r="B33" s="1767" t="s">
        <v>16</v>
      </c>
      <c r="C33" t="s">
        <v>2549</v>
      </c>
      <c r="D33" t="s">
        <v>2550</v>
      </c>
      <c r="E33" t="s">
        <v>2551</v>
      </c>
      <c r="F33" t="s">
        <v>600</v>
      </c>
      <c r="G33" t="s">
        <v>2552</v>
      </c>
      <c r="H33" t="s">
        <v>22</v>
      </c>
      <c r="I33" t="s">
        <v>971</v>
      </c>
    </row>
    <row r="34" spans="1:9" ht="11.25" customHeight="1">
      <c r="A34" s="1767" t="s">
        <v>2416</v>
      </c>
      <c r="B34" s="1767" t="s">
        <v>16</v>
      </c>
      <c r="C34" t="s">
        <v>2553</v>
      </c>
      <c r="D34" t="s">
        <v>2554</v>
      </c>
      <c r="E34" t="s">
        <v>2555</v>
      </c>
      <c r="F34" t="s">
        <v>600</v>
      </c>
      <c r="G34" t="s">
        <v>2556</v>
      </c>
      <c r="H34" t="s">
        <v>22</v>
      </c>
      <c r="I34" t="s">
        <v>971</v>
      </c>
    </row>
    <row r="35" spans="1:9" ht="11.25" customHeight="1">
      <c r="A35" s="1767" t="s">
        <v>2416</v>
      </c>
      <c r="B35" s="1767" t="s">
        <v>16</v>
      </c>
      <c r="C35" t="s">
        <v>2557</v>
      </c>
      <c r="D35" t="s">
        <v>2558</v>
      </c>
      <c r="E35" t="s">
        <v>2559</v>
      </c>
      <c r="F35" t="s">
        <v>600</v>
      </c>
      <c r="G35" t="s">
        <v>2560</v>
      </c>
      <c r="H35" t="s">
        <v>22</v>
      </c>
      <c r="I35" t="s">
        <v>971</v>
      </c>
    </row>
    <row r="36" spans="1:9" ht="11.25" customHeight="1">
      <c r="A36" s="1767" t="s">
        <v>2416</v>
      </c>
      <c r="B36" s="1767" t="s">
        <v>16</v>
      </c>
      <c r="C36" t="s">
        <v>2561</v>
      </c>
      <c r="D36" t="s">
        <v>2562</v>
      </c>
      <c r="E36" t="s">
        <v>2563</v>
      </c>
      <c r="F36" t="s">
        <v>600</v>
      </c>
      <c r="G36" t="s">
        <v>22</v>
      </c>
      <c r="H36" t="s">
        <v>22</v>
      </c>
      <c r="I36" t="s">
        <v>971</v>
      </c>
    </row>
    <row r="37" spans="1:9" ht="11.25" customHeight="1">
      <c r="A37" s="1767" t="s">
        <v>2416</v>
      </c>
      <c r="B37" s="1767" t="s">
        <v>16</v>
      </c>
      <c r="C37" t="s">
        <v>2564</v>
      </c>
      <c r="D37" t="s">
        <v>2565</v>
      </c>
      <c r="E37" t="s">
        <v>2566</v>
      </c>
      <c r="F37" t="s">
        <v>600</v>
      </c>
      <c r="G37" t="s">
        <v>2567</v>
      </c>
      <c r="H37" t="s">
        <v>22</v>
      </c>
      <c r="I37" t="s">
        <v>971</v>
      </c>
    </row>
    <row r="38" spans="1:9" ht="11.25" customHeight="1">
      <c r="A38" s="1767" t="s">
        <v>2416</v>
      </c>
      <c r="B38" s="1767" t="s">
        <v>16</v>
      </c>
      <c r="C38" t="s">
        <v>2568</v>
      </c>
      <c r="D38" t="s">
        <v>2569</v>
      </c>
      <c r="E38" t="s">
        <v>2570</v>
      </c>
      <c r="F38" t="s">
        <v>600</v>
      </c>
      <c r="G38" t="s">
        <v>2571</v>
      </c>
      <c r="H38" t="s">
        <v>22</v>
      </c>
      <c r="I38" t="s">
        <v>971</v>
      </c>
    </row>
    <row r="39" spans="1:9" ht="11.25" customHeight="1">
      <c r="A39" s="1767" t="s">
        <v>2416</v>
      </c>
      <c r="B39" s="1767" t="s">
        <v>16</v>
      </c>
      <c r="C39" t="s">
        <v>2572</v>
      </c>
      <c r="D39" t="s">
        <v>2573</v>
      </c>
      <c r="E39" t="s">
        <v>2574</v>
      </c>
      <c r="F39" t="s">
        <v>600</v>
      </c>
      <c r="G39" t="s">
        <v>2575</v>
      </c>
      <c r="H39" t="s">
        <v>2576</v>
      </c>
      <c r="I39" t="s">
        <v>971</v>
      </c>
    </row>
    <row r="40" spans="1:9" ht="11.25" customHeight="1">
      <c r="A40" s="1767" t="s">
        <v>2416</v>
      </c>
      <c r="B40" s="1767" t="s">
        <v>16</v>
      </c>
      <c r="C40" t="s">
        <v>2577</v>
      </c>
      <c r="D40" t="s">
        <v>2578</v>
      </c>
      <c r="E40" t="s">
        <v>2579</v>
      </c>
      <c r="F40" t="s">
        <v>2580</v>
      </c>
      <c r="G40" t="s">
        <v>2581</v>
      </c>
      <c r="H40" t="s">
        <v>22</v>
      </c>
      <c r="I40" t="s">
        <v>971</v>
      </c>
    </row>
    <row r="41" spans="1:9" ht="11.25" customHeight="1">
      <c r="A41" s="1767" t="s">
        <v>2416</v>
      </c>
      <c r="B41" s="1767" t="s">
        <v>16</v>
      </c>
      <c r="C41" t="s">
        <v>2582</v>
      </c>
      <c r="D41" t="s">
        <v>2583</v>
      </c>
      <c r="E41" t="s">
        <v>2441</v>
      </c>
      <c r="F41" t="s">
        <v>2584</v>
      </c>
      <c r="G41" t="s">
        <v>2442</v>
      </c>
      <c r="H41" t="s">
        <v>22</v>
      </c>
      <c r="I41" t="s">
        <v>971</v>
      </c>
    </row>
    <row r="42" spans="1:9" ht="11.25" customHeight="1">
      <c r="A42" s="1767" t="s">
        <v>2416</v>
      </c>
      <c r="B42" s="1767" t="s">
        <v>16</v>
      </c>
      <c r="C42" t="s">
        <v>2585</v>
      </c>
      <c r="D42" t="s">
        <v>2586</v>
      </c>
      <c r="E42" t="s">
        <v>2441</v>
      </c>
      <c r="F42" t="s">
        <v>2587</v>
      </c>
      <c r="G42" t="s">
        <v>2442</v>
      </c>
      <c r="H42" t="s">
        <v>22</v>
      </c>
      <c r="I42" t="s">
        <v>971</v>
      </c>
    </row>
    <row r="43" spans="1:9" ht="11.25" customHeight="1">
      <c r="A43" s="1767" t="s">
        <v>2416</v>
      </c>
      <c r="B43" s="1767" t="s">
        <v>16</v>
      </c>
      <c r="C43" t="s">
        <v>2588</v>
      </c>
      <c r="D43" t="s">
        <v>2589</v>
      </c>
      <c r="E43" t="s">
        <v>2590</v>
      </c>
      <c r="F43" t="s">
        <v>2580</v>
      </c>
      <c r="G43" t="s">
        <v>2591</v>
      </c>
      <c r="H43" t="s">
        <v>2592</v>
      </c>
      <c r="I43" t="s">
        <v>971</v>
      </c>
    </row>
    <row r="44" spans="1:9" ht="11.25" customHeight="1">
      <c r="A44" s="1767" t="s">
        <v>2416</v>
      </c>
      <c r="B44" s="1767" t="s">
        <v>16</v>
      </c>
      <c r="C44" t="s">
        <v>2593</v>
      </c>
      <c r="D44" t="s">
        <v>2594</v>
      </c>
      <c r="E44" t="s">
        <v>2595</v>
      </c>
      <c r="F44" t="s">
        <v>2596</v>
      </c>
      <c r="G44" t="s">
        <v>2597</v>
      </c>
      <c r="H44" t="s">
        <v>22</v>
      </c>
      <c r="I44" t="s">
        <v>971</v>
      </c>
    </row>
    <row r="45" spans="1:9" ht="11.25" customHeight="1">
      <c r="A45" s="1767" t="s">
        <v>2416</v>
      </c>
      <c r="B45" s="1767" t="s">
        <v>16</v>
      </c>
      <c r="C45" t="s">
        <v>2598</v>
      </c>
      <c r="D45" t="s">
        <v>2599</v>
      </c>
      <c r="E45" t="s">
        <v>2600</v>
      </c>
      <c r="F45" t="s">
        <v>2596</v>
      </c>
      <c r="G45" t="s">
        <v>2601</v>
      </c>
      <c r="H45" t="s">
        <v>22</v>
      </c>
      <c r="I45" t="s">
        <v>971</v>
      </c>
    </row>
    <row r="46" spans="1:9" ht="11.25" customHeight="1">
      <c r="A46" s="1767" t="s">
        <v>2416</v>
      </c>
      <c r="B46" s="1767" t="s">
        <v>16</v>
      </c>
      <c r="C46" t="s">
        <v>2602</v>
      </c>
      <c r="D46" t="s">
        <v>2603</v>
      </c>
      <c r="E46" t="s">
        <v>2604</v>
      </c>
      <c r="F46" t="s">
        <v>2596</v>
      </c>
      <c r="G46" t="s">
        <v>2605</v>
      </c>
      <c r="H46" t="s">
        <v>22</v>
      </c>
      <c r="I46" t="s">
        <v>971</v>
      </c>
    </row>
    <row r="47" spans="1:9" ht="11.25" customHeight="1">
      <c r="A47" s="1767" t="s">
        <v>2416</v>
      </c>
      <c r="B47" s="1767" t="s">
        <v>16</v>
      </c>
      <c r="C47" t="s">
        <v>2606</v>
      </c>
      <c r="D47" t="s">
        <v>2607</v>
      </c>
      <c r="E47" t="s">
        <v>2608</v>
      </c>
      <c r="F47" t="s">
        <v>2609</v>
      </c>
      <c r="G47" t="s">
        <v>2610</v>
      </c>
      <c r="H47" t="s">
        <v>22</v>
      </c>
      <c r="I47" t="s">
        <v>971</v>
      </c>
    </row>
    <row r="48" spans="1:9" ht="11.25" customHeight="1">
      <c r="A48" s="1767" t="s">
        <v>2416</v>
      </c>
      <c r="B48" s="1767" t="s">
        <v>16</v>
      </c>
      <c r="C48" t="s">
        <v>2611</v>
      </c>
      <c r="D48" t="s">
        <v>2612</v>
      </c>
      <c r="E48" t="s">
        <v>2613</v>
      </c>
      <c r="F48" t="s">
        <v>2614</v>
      </c>
      <c r="G48" t="s">
        <v>22</v>
      </c>
      <c r="H48" t="s">
        <v>22</v>
      </c>
      <c r="I48" t="s">
        <v>971</v>
      </c>
    </row>
    <row r="49" spans="1:9" ht="11.25" customHeight="1">
      <c r="A49" s="1767" t="s">
        <v>2416</v>
      </c>
      <c r="B49" s="1767" t="s">
        <v>16</v>
      </c>
      <c r="C49" t="s">
        <v>2615</v>
      </c>
      <c r="D49" t="s">
        <v>2616</v>
      </c>
      <c r="E49" t="s">
        <v>2617</v>
      </c>
      <c r="F49" t="s">
        <v>2618</v>
      </c>
      <c r="G49" t="s">
        <v>2619</v>
      </c>
      <c r="H49" t="s">
        <v>22</v>
      </c>
      <c r="I49" t="s">
        <v>971</v>
      </c>
    </row>
    <row r="50" spans="1:9" ht="11.25" customHeight="1">
      <c r="A50" s="1767" t="s">
        <v>2416</v>
      </c>
      <c r="B50" s="1767" t="s">
        <v>16</v>
      </c>
      <c r="C50" t="s">
        <v>2620</v>
      </c>
      <c r="D50" t="s">
        <v>2621</v>
      </c>
      <c r="E50" t="s">
        <v>2622</v>
      </c>
      <c r="F50" t="s">
        <v>2540</v>
      </c>
      <c r="G50" t="s">
        <v>2623</v>
      </c>
      <c r="H50" t="s">
        <v>22</v>
      </c>
      <c r="I50" t="s">
        <v>971</v>
      </c>
    </row>
    <row r="51" spans="1:9" ht="11.25" customHeight="1">
      <c r="A51" s="1767" t="s">
        <v>2416</v>
      </c>
      <c r="B51" s="1767" t="s">
        <v>16</v>
      </c>
      <c r="C51" t="s">
        <v>2624</v>
      </c>
      <c r="D51" t="s">
        <v>2625</v>
      </c>
      <c r="E51" t="s">
        <v>2626</v>
      </c>
      <c r="F51" t="s">
        <v>2580</v>
      </c>
      <c r="G51" t="s">
        <v>2627</v>
      </c>
      <c r="H51" t="s">
        <v>22</v>
      </c>
      <c r="I51" t="s">
        <v>971</v>
      </c>
    </row>
    <row r="52" spans="1:9" ht="11.25" customHeight="1">
      <c r="A52" s="1767" t="s">
        <v>2416</v>
      </c>
      <c r="B52" s="1767" t="s">
        <v>16</v>
      </c>
      <c r="C52" t="s">
        <v>2628</v>
      </c>
      <c r="D52" t="s">
        <v>2629</v>
      </c>
      <c r="E52" t="s">
        <v>2630</v>
      </c>
      <c r="F52" t="s">
        <v>2614</v>
      </c>
      <c r="G52" t="s">
        <v>2631</v>
      </c>
      <c r="H52" t="s">
        <v>22</v>
      </c>
      <c r="I52" t="s">
        <v>971</v>
      </c>
    </row>
    <row r="53" spans="1:9" ht="11.25" customHeight="1">
      <c r="A53" s="1767" t="s">
        <v>2416</v>
      </c>
      <c r="B53" s="1767" t="s">
        <v>16</v>
      </c>
      <c r="C53" t="s">
        <v>2632</v>
      </c>
      <c r="D53" t="s">
        <v>2633</v>
      </c>
      <c r="E53" t="s">
        <v>2634</v>
      </c>
      <c r="F53" t="s">
        <v>2519</v>
      </c>
      <c r="G53" t="s">
        <v>2635</v>
      </c>
      <c r="H53" t="s">
        <v>22</v>
      </c>
      <c r="I53" t="s">
        <v>971</v>
      </c>
    </row>
    <row r="54" spans="1:9" ht="11.25" customHeight="1">
      <c r="A54" s="1767" t="s">
        <v>2416</v>
      </c>
      <c r="B54" s="1767" t="s">
        <v>16</v>
      </c>
      <c r="C54" t="s">
        <v>2636</v>
      </c>
      <c r="D54" t="s">
        <v>2637</v>
      </c>
      <c r="E54" t="s">
        <v>2638</v>
      </c>
      <c r="F54" t="s">
        <v>2540</v>
      </c>
      <c r="G54" t="s">
        <v>2639</v>
      </c>
      <c r="H54" t="s">
        <v>22</v>
      </c>
      <c r="I54" t="s">
        <v>971</v>
      </c>
    </row>
    <row r="55" spans="1:9" ht="11.25" customHeight="1">
      <c r="A55" s="1767" t="s">
        <v>2416</v>
      </c>
      <c r="B55" s="1767" t="s">
        <v>16</v>
      </c>
      <c r="C55" t="s">
        <v>2640</v>
      </c>
      <c r="D55" t="s">
        <v>2641</v>
      </c>
      <c r="E55" t="s">
        <v>2642</v>
      </c>
      <c r="F55" t="s">
        <v>2490</v>
      </c>
      <c r="G55" t="s">
        <v>2503</v>
      </c>
      <c r="H55" t="s">
        <v>22</v>
      </c>
      <c r="I55" t="s">
        <v>971</v>
      </c>
    </row>
    <row r="56" spans="1:9" ht="11.25" customHeight="1">
      <c r="A56" s="1767" t="s">
        <v>2416</v>
      </c>
      <c r="B56" s="1767" t="s">
        <v>16</v>
      </c>
      <c r="C56" t="s">
        <v>2643</v>
      </c>
      <c r="D56" t="s">
        <v>2644</v>
      </c>
      <c r="E56" t="s">
        <v>2645</v>
      </c>
      <c r="F56" t="s">
        <v>2614</v>
      </c>
      <c r="G56" t="s">
        <v>2646</v>
      </c>
      <c r="H56" t="s">
        <v>22</v>
      </c>
      <c r="I56" t="s">
        <v>971</v>
      </c>
    </row>
    <row r="57" spans="1:9" ht="11.25" customHeight="1">
      <c r="A57" s="1767" t="s">
        <v>2416</v>
      </c>
      <c r="B57" s="1767" t="s">
        <v>16</v>
      </c>
      <c r="C57" t="s">
        <v>2647</v>
      </c>
      <c r="D57" t="s">
        <v>2648</v>
      </c>
      <c r="E57" t="s">
        <v>2649</v>
      </c>
      <c r="F57" t="s">
        <v>2650</v>
      </c>
      <c r="G57" t="s">
        <v>2651</v>
      </c>
      <c r="H57" t="s">
        <v>22</v>
      </c>
      <c r="I57" t="s">
        <v>971</v>
      </c>
    </row>
    <row r="58" spans="1:9" ht="11.25" customHeight="1">
      <c r="A58" s="1767" t="s">
        <v>2416</v>
      </c>
      <c r="B58" s="1767" t="s">
        <v>16</v>
      </c>
      <c r="C58" t="s">
        <v>2652</v>
      </c>
      <c r="D58" t="s">
        <v>2653</v>
      </c>
      <c r="E58" t="s">
        <v>2654</v>
      </c>
      <c r="F58" t="s">
        <v>2614</v>
      </c>
      <c r="G58" t="s">
        <v>2655</v>
      </c>
      <c r="H58" t="s">
        <v>22</v>
      </c>
      <c r="I58" t="s">
        <v>971</v>
      </c>
    </row>
    <row r="59" spans="1:9" ht="11.25" customHeight="1">
      <c r="A59" s="1767" t="s">
        <v>2416</v>
      </c>
      <c r="B59" s="1767" t="s">
        <v>16</v>
      </c>
      <c r="C59" t="s">
        <v>2656</v>
      </c>
      <c r="D59" t="s">
        <v>2657</v>
      </c>
      <c r="E59" t="s">
        <v>2658</v>
      </c>
      <c r="F59" t="s">
        <v>2659</v>
      </c>
      <c r="G59" t="s">
        <v>2544</v>
      </c>
      <c r="H59" t="s">
        <v>22</v>
      </c>
      <c r="I59" t="s">
        <v>971</v>
      </c>
    </row>
    <row r="60" spans="1:9" ht="11.25" customHeight="1">
      <c r="A60" s="1767" t="s">
        <v>2416</v>
      </c>
      <c r="B60" s="1767" t="s">
        <v>16</v>
      </c>
      <c r="C60" t="s">
        <v>2660</v>
      </c>
      <c r="D60" t="s">
        <v>2661</v>
      </c>
      <c r="E60" t="s">
        <v>2662</v>
      </c>
      <c r="F60" t="s">
        <v>2614</v>
      </c>
      <c r="G60" t="s">
        <v>2663</v>
      </c>
      <c r="H60" t="s">
        <v>22</v>
      </c>
      <c r="I60" t="s">
        <v>971</v>
      </c>
    </row>
    <row r="61" spans="1:9" ht="11.25" customHeight="1">
      <c r="A61" s="1767" t="s">
        <v>2416</v>
      </c>
      <c r="B61" s="1767" t="s">
        <v>16</v>
      </c>
      <c r="C61" t="s">
        <v>2664</v>
      </c>
      <c r="D61" t="s">
        <v>2665</v>
      </c>
      <c r="E61" t="s">
        <v>2666</v>
      </c>
      <c r="F61" t="s">
        <v>2650</v>
      </c>
      <c r="G61" t="s">
        <v>2651</v>
      </c>
      <c r="H61" t="s">
        <v>22</v>
      </c>
      <c r="I61" t="s">
        <v>971</v>
      </c>
    </row>
    <row r="62" spans="1:9" ht="11.25" customHeight="1">
      <c r="A62" s="1767" t="s">
        <v>2416</v>
      </c>
      <c r="B62" s="1767" t="s">
        <v>16</v>
      </c>
      <c r="C62" t="s">
        <v>2667</v>
      </c>
      <c r="D62" t="s">
        <v>2668</v>
      </c>
      <c r="E62" t="s">
        <v>2669</v>
      </c>
      <c r="F62" t="s">
        <v>2614</v>
      </c>
      <c r="G62" t="s">
        <v>2670</v>
      </c>
      <c r="H62" t="s">
        <v>2671</v>
      </c>
      <c r="I62" t="s">
        <v>971</v>
      </c>
    </row>
    <row r="63" spans="1:9" ht="11.25" customHeight="1">
      <c r="A63" s="1767" t="s">
        <v>2416</v>
      </c>
      <c r="B63" s="1767" t="s">
        <v>16</v>
      </c>
      <c r="C63" t="s">
        <v>2672</v>
      </c>
      <c r="D63" t="s">
        <v>2673</v>
      </c>
      <c r="E63" t="s">
        <v>2674</v>
      </c>
      <c r="F63" t="s">
        <v>2618</v>
      </c>
      <c r="G63" t="s">
        <v>2675</v>
      </c>
      <c r="H63" t="s">
        <v>22</v>
      </c>
      <c r="I63" t="s">
        <v>971</v>
      </c>
    </row>
    <row r="64" spans="1:9" ht="11.25" customHeight="1">
      <c r="A64" s="1767" t="s">
        <v>2416</v>
      </c>
      <c r="B64" s="1767" t="s">
        <v>16</v>
      </c>
      <c r="C64" t="s">
        <v>2676</v>
      </c>
      <c r="D64" t="s">
        <v>2677</v>
      </c>
      <c r="E64" t="s">
        <v>2678</v>
      </c>
      <c r="F64" t="s">
        <v>2679</v>
      </c>
      <c r="G64" t="s">
        <v>2610</v>
      </c>
      <c r="H64" t="s">
        <v>22</v>
      </c>
      <c r="I64" t="s">
        <v>971</v>
      </c>
    </row>
    <row r="65" spans="1:9" ht="11.25" customHeight="1">
      <c r="A65" s="1767" t="s">
        <v>2416</v>
      </c>
      <c r="B65" s="1767" t="s">
        <v>16</v>
      </c>
      <c r="C65" t="s">
        <v>2680</v>
      </c>
      <c r="D65" t="s">
        <v>2681</v>
      </c>
      <c r="E65" t="s">
        <v>2682</v>
      </c>
      <c r="F65" t="s">
        <v>2614</v>
      </c>
      <c r="G65" t="s">
        <v>2683</v>
      </c>
      <c r="H65" t="s">
        <v>22</v>
      </c>
      <c r="I65" t="s">
        <v>971</v>
      </c>
    </row>
    <row r="66" spans="1:9" ht="11.25" customHeight="1">
      <c r="A66" s="1767" t="s">
        <v>2416</v>
      </c>
      <c r="B66" s="1767" t="s">
        <v>16</v>
      </c>
      <c r="C66" t="s">
        <v>2684</v>
      </c>
      <c r="D66" t="s">
        <v>2685</v>
      </c>
      <c r="E66" t="s">
        <v>2686</v>
      </c>
      <c r="F66" t="s">
        <v>2519</v>
      </c>
      <c r="G66" t="s">
        <v>2687</v>
      </c>
      <c r="H66" t="s">
        <v>22</v>
      </c>
      <c r="I66" t="s">
        <v>971</v>
      </c>
    </row>
    <row r="67" spans="1:9" ht="11.25" customHeight="1">
      <c r="A67" s="1767" t="s">
        <v>2416</v>
      </c>
      <c r="B67" s="1767" t="s">
        <v>16</v>
      </c>
      <c r="C67" t="s">
        <v>2688</v>
      </c>
      <c r="D67" t="s">
        <v>2689</v>
      </c>
      <c r="E67" t="s">
        <v>2690</v>
      </c>
      <c r="F67" t="s">
        <v>2691</v>
      </c>
      <c r="G67" t="s">
        <v>2692</v>
      </c>
      <c r="H67" t="s">
        <v>2693</v>
      </c>
      <c r="I67" t="s">
        <v>971</v>
      </c>
    </row>
    <row r="68" spans="1:9" ht="11.25" customHeight="1">
      <c r="A68" s="1767" t="s">
        <v>2416</v>
      </c>
      <c r="B68" s="1767" t="s">
        <v>16</v>
      </c>
      <c r="C68" t="s">
        <v>2694</v>
      </c>
      <c r="D68" t="s">
        <v>2695</v>
      </c>
      <c r="E68" t="s">
        <v>2696</v>
      </c>
      <c r="F68" t="s">
        <v>2527</v>
      </c>
      <c r="G68" t="s">
        <v>2697</v>
      </c>
      <c r="H68" t="s">
        <v>2698</v>
      </c>
      <c r="I68" t="s">
        <v>971</v>
      </c>
    </row>
    <row r="69" spans="1:9" ht="11.25" customHeight="1">
      <c r="A69" s="1767" t="s">
        <v>2416</v>
      </c>
      <c r="B69" s="1767" t="s">
        <v>16</v>
      </c>
      <c r="C69" t="s">
        <v>2699</v>
      </c>
      <c r="D69" t="s">
        <v>2700</v>
      </c>
      <c r="E69" t="s">
        <v>2701</v>
      </c>
      <c r="F69" t="s">
        <v>2527</v>
      </c>
      <c r="G69" t="s">
        <v>2697</v>
      </c>
      <c r="H69" t="s">
        <v>2702</v>
      </c>
      <c r="I69" t="s">
        <v>971</v>
      </c>
    </row>
    <row r="70" spans="1:9" ht="11.25" customHeight="1">
      <c r="A70" s="1767" t="s">
        <v>2416</v>
      </c>
      <c r="B70" s="1767" t="s">
        <v>16</v>
      </c>
      <c r="C70" t="s">
        <v>2703</v>
      </c>
      <c r="D70" t="s">
        <v>2704</v>
      </c>
      <c r="E70" t="s">
        <v>2705</v>
      </c>
      <c r="F70" t="s">
        <v>2527</v>
      </c>
      <c r="G70" t="s">
        <v>2706</v>
      </c>
      <c r="H70" t="s">
        <v>2707</v>
      </c>
      <c r="I70" t="s">
        <v>971</v>
      </c>
    </row>
    <row r="71" spans="1:9" ht="11.25" customHeight="1">
      <c r="A71" s="1767" t="s">
        <v>2416</v>
      </c>
      <c r="B71" s="1767" t="s">
        <v>16</v>
      </c>
      <c r="C71" t="s">
        <v>2708</v>
      </c>
      <c r="D71" t="s">
        <v>2709</v>
      </c>
      <c r="E71" t="s">
        <v>2710</v>
      </c>
      <c r="F71" t="s">
        <v>2527</v>
      </c>
      <c r="G71" t="s">
        <v>2711</v>
      </c>
      <c r="H71" t="s">
        <v>2712</v>
      </c>
      <c r="I71" t="s">
        <v>971</v>
      </c>
    </row>
    <row r="72" spans="1:9" ht="11.25" customHeight="1">
      <c r="A72" s="1767" t="s">
        <v>2416</v>
      </c>
      <c r="B72" s="1767" t="s">
        <v>16</v>
      </c>
      <c r="C72" t="s">
        <v>2713</v>
      </c>
      <c r="D72" t="s">
        <v>2714</v>
      </c>
      <c r="E72" t="s">
        <v>2715</v>
      </c>
      <c r="F72" t="s">
        <v>2527</v>
      </c>
      <c r="G72" t="s">
        <v>2706</v>
      </c>
      <c r="H72" t="s">
        <v>22</v>
      </c>
      <c r="I72" t="s">
        <v>971</v>
      </c>
    </row>
    <row r="73" spans="1:9" ht="11.25" customHeight="1">
      <c r="A73" s="1767" t="s">
        <v>2416</v>
      </c>
      <c r="B73" s="1767" t="s">
        <v>16</v>
      </c>
      <c r="C73" t="s">
        <v>2716</v>
      </c>
      <c r="D73" t="s">
        <v>2717</v>
      </c>
      <c r="E73" t="s">
        <v>2718</v>
      </c>
      <c r="F73" t="s">
        <v>2527</v>
      </c>
      <c r="G73" t="s">
        <v>22</v>
      </c>
      <c r="H73" t="s">
        <v>22</v>
      </c>
      <c r="I73" t="s">
        <v>971</v>
      </c>
    </row>
    <row r="74" spans="1:9" ht="11.25" customHeight="1">
      <c r="A74" s="1767" t="s">
        <v>2416</v>
      </c>
      <c r="B74" s="1767" t="s">
        <v>16</v>
      </c>
      <c r="C74" t="s">
        <v>2719</v>
      </c>
      <c r="D74" t="s">
        <v>2720</v>
      </c>
      <c r="E74" t="s">
        <v>2506</v>
      </c>
      <c r="F74" t="s">
        <v>2481</v>
      </c>
      <c r="G74" t="s">
        <v>22</v>
      </c>
      <c r="H74" t="s">
        <v>22</v>
      </c>
      <c r="I74" t="s">
        <v>971</v>
      </c>
    </row>
    <row r="75" spans="1:9" ht="11.25" customHeight="1">
      <c r="A75" s="1767" t="s">
        <v>2416</v>
      </c>
      <c r="B75" s="1767" t="s">
        <v>16</v>
      </c>
      <c r="C75" t="s">
        <v>2721</v>
      </c>
      <c r="D75" t="s">
        <v>2722</v>
      </c>
      <c r="E75" t="s">
        <v>2441</v>
      </c>
      <c r="F75" t="s">
        <v>2723</v>
      </c>
      <c r="G75" t="s">
        <v>2442</v>
      </c>
      <c r="H75" t="s">
        <v>22</v>
      </c>
      <c r="I75" t="s">
        <v>971</v>
      </c>
    </row>
    <row r="76" spans="1:9" ht="11.25" customHeight="1">
      <c r="A76" s="1767" t="s">
        <v>2416</v>
      </c>
      <c r="B76" s="1767" t="s">
        <v>16</v>
      </c>
      <c r="C76" t="s">
        <v>2724</v>
      </c>
      <c r="D76" t="s">
        <v>2725</v>
      </c>
      <c r="E76" t="s">
        <v>2441</v>
      </c>
      <c r="F76" t="s">
        <v>2726</v>
      </c>
      <c r="G76" t="s">
        <v>2515</v>
      </c>
      <c r="H76" t="s">
        <v>22</v>
      </c>
      <c r="I76" t="s">
        <v>971</v>
      </c>
    </row>
    <row r="77" spans="1:9" ht="11.25" customHeight="1">
      <c r="A77" s="1767" t="s">
        <v>2416</v>
      </c>
      <c r="B77" s="1767" t="s">
        <v>16</v>
      </c>
      <c r="C77" t="s">
        <v>2727</v>
      </c>
      <c r="D77" t="s">
        <v>2728</v>
      </c>
      <c r="E77" t="s">
        <v>2506</v>
      </c>
      <c r="F77" t="s">
        <v>2729</v>
      </c>
      <c r="G77" t="s">
        <v>22</v>
      </c>
      <c r="H77" t="s">
        <v>22</v>
      </c>
      <c r="I77" t="s">
        <v>971</v>
      </c>
    </row>
    <row r="78" spans="1:9" ht="11.25" customHeight="1">
      <c r="A78" s="1767" t="s">
        <v>2416</v>
      </c>
      <c r="B78" s="1767" t="s">
        <v>16</v>
      </c>
      <c r="C78" t="s">
        <v>2730</v>
      </c>
      <c r="D78" t="s">
        <v>2731</v>
      </c>
      <c r="E78" t="s">
        <v>2506</v>
      </c>
      <c r="F78" t="s">
        <v>2618</v>
      </c>
      <c r="G78" t="s">
        <v>22</v>
      </c>
      <c r="H78" t="s">
        <v>22</v>
      </c>
      <c r="I78" t="s">
        <v>971</v>
      </c>
    </row>
    <row r="79" spans="1:9" ht="11.25" customHeight="1">
      <c r="A79" s="1767" t="s">
        <v>2416</v>
      </c>
      <c r="B79" s="1767" t="s">
        <v>16</v>
      </c>
      <c r="C79" t="s">
        <v>2732</v>
      </c>
      <c r="D79" t="s">
        <v>2733</v>
      </c>
      <c r="E79" t="s">
        <v>2734</v>
      </c>
      <c r="F79" t="s">
        <v>2419</v>
      </c>
      <c r="G79" t="s">
        <v>2735</v>
      </c>
      <c r="H79" t="s">
        <v>22</v>
      </c>
      <c r="I79" t="s">
        <v>971</v>
      </c>
    </row>
    <row r="80" spans="1:9" ht="11.25" customHeight="1">
      <c r="A80" s="1767" t="s">
        <v>2416</v>
      </c>
      <c r="B80" s="1767" t="s">
        <v>16</v>
      </c>
      <c r="C80" t="s">
        <v>2736</v>
      </c>
      <c r="D80" t="s">
        <v>2737</v>
      </c>
      <c r="E80" t="s">
        <v>2738</v>
      </c>
      <c r="F80" t="s">
        <v>2609</v>
      </c>
      <c r="G80" t="s">
        <v>2739</v>
      </c>
      <c r="H80" t="s">
        <v>22</v>
      </c>
      <c r="I80" t="s">
        <v>971</v>
      </c>
    </row>
    <row r="81" spans="1:9" ht="11.25" customHeight="1">
      <c r="A81" s="1767" t="s">
        <v>2416</v>
      </c>
      <c r="B81" s="1767" t="s">
        <v>16</v>
      </c>
      <c r="C81" t="s">
        <v>2740</v>
      </c>
      <c r="D81" t="s">
        <v>2741</v>
      </c>
      <c r="E81" t="s">
        <v>2742</v>
      </c>
      <c r="F81" t="s">
        <v>2679</v>
      </c>
      <c r="G81" t="s">
        <v>2743</v>
      </c>
      <c r="H81" t="s">
        <v>22</v>
      </c>
      <c r="I81" t="s">
        <v>971</v>
      </c>
    </row>
    <row r="82" spans="1:9" ht="11.25" customHeight="1">
      <c r="A82" s="1767" t="s">
        <v>2416</v>
      </c>
      <c r="B82" s="1767" t="s">
        <v>16</v>
      </c>
      <c r="C82" t="s">
        <v>2744</v>
      </c>
      <c r="D82" t="s">
        <v>2745</v>
      </c>
      <c r="E82" t="s">
        <v>2746</v>
      </c>
      <c r="F82" t="s">
        <v>2419</v>
      </c>
      <c r="G82" t="s">
        <v>2747</v>
      </c>
      <c r="H82" t="s">
        <v>22</v>
      </c>
      <c r="I82" t="s">
        <v>971</v>
      </c>
    </row>
    <row r="83" spans="1:9" ht="11.25" customHeight="1">
      <c r="A83" s="1767" t="s">
        <v>2416</v>
      </c>
      <c r="B83" s="1767" t="s">
        <v>16</v>
      </c>
      <c r="C83" t="s">
        <v>2748</v>
      </c>
      <c r="D83" t="s">
        <v>2749</v>
      </c>
      <c r="E83" t="s">
        <v>2750</v>
      </c>
      <c r="F83" t="s">
        <v>2650</v>
      </c>
      <c r="G83" t="s">
        <v>2751</v>
      </c>
      <c r="H83" t="s">
        <v>22</v>
      </c>
      <c r="I83" t="s">
        <v>971</v>
      </c>
    </row>
    <row r="84" spans="1:9" ht="11.25" customHeight="1">
      <c r="A84" s="1767" t="s">
        <v>2416</v>
      </c>
      <c r="B84" s="1767" t="s">
        <v>16</v>
      </c>
      <c r="C84" t="s">
        <v>2752</v>
      </c>
      <c r="D84" t="s">
        <v>2753</v>
      </c>
      <c r="E84" t="s">
        <v>2754</v>
      </c>
      <c r="F84" t="s">
        <v>2755</v>
      </c>
      <c r="G84" t="s">
        <v>2756</v>
      </c>
      <c r="H84" t="s">
        <v>22</v>
      </c>
      <c r="I84" t="s">
        <v>971</v>
      </c>
    </row>
    <row r="85" spans="1:9" ht="11.25" customHeight="1">
      <c r="A85" s="1767" t="s">
        <v>2416</v>
      </c>
      <c r="B85" s="1767" t="s">
        <v>16</v>
      </c>
      <c r="C85" t="s">
        <v>2757</v>
      </c>
      <c r="D85" t="s">
        <v>2758</v>
      </c>
      <c r="E85" t="s">
        <v>2759</v>
      </c>
      <c r="F85" t="s">
        <v>2519</v>
      </c>
      <c r="G85" t="s">
        <v>2760</v>
      </c>
      <c r="H85" t="s">
        <v>22</v>
      </c>
      <c r="I85" t="s">
        <v>971</v>
      </c>
    </row>
    <row r="86" spans="1:9" ht="11.25" customHeight="1">
      <c r="A86" s="1767" t="s">
        <v>2416</v>
      </c>
      <c r="B86" s="1767" t="s">
        <v>16</v>
      </c>
      <c r="C86" t="s">
        <v>2761</v>
      </c>
      <c r="D86" t="s">
        <v>2762</v>
      </c>
      <c r="E86" t="s">
        <v>2763</v>
      </c>
      <c r="F86" t="s">
        <v>2519</v>
      </c>
      <c r="G86" t="s">
        <v>2764</v>
      </c>
      <c r="H86" t="s">
        <v>22</v>
      </c>
      <c r="I86" t="s">
        <v>971</v>
      </c>
    </row>
    <row r="87" spans="1:9" ht="11.25" customHeight="1">
      <c r="A87" s="1767" t="s">
        <v>2416</v>
      </c>
      <c r="B87" s="1767" t="s">
        <v>16</v>
      </c>
      <c r="C87" t="s">
        <v>2765</v>
      </c>
      <c r="D87" t="s">
        <v>2762</v>
      </c>
      <c r="E87" t="s">
        <v>2766</v>
      </c>
      <c r="F87" t="s">
        <v>2767</v>
      </c>
      <c r="G87" t="s">
        <v>2768</v>
      </c>
      <c r="H87" t="s">
        <v>22</v>
      </c>
      <c r="I87" t="s">
        <v>971</v>
      </c>
    </row>
    <row r="88" spans="1:9" ht="11.25" customHeight="1">
      <c r="A88" s="1767" t="s">
        <v>2416</v>
      </c>
      <c r="B88" s="1767" t="s">
        <v>16</v>
      </c>
      <c r="C88" t="s">
        <v>2769</v>
      </c>
      <c r="D88" t="s">
        <v>2770</v>
      </c>
      <c r="E88" t="s">
        <v>2771</v>
      </c>
      <c r="F88" t="s">
        <v>2755</v>
      </c>
      <c r="G88" t="s">
        <v>2772</v>
      </c>
      <c r="H88" t="s">
        <v>22</v>
      </c>
      <c r="I88" t="s">
        <v>971</v>
      </c>
    </row>
    <row r="89" spans="1:9" ht="11.25" customHeight="1">
      <c r="A89" s="1767" t="s">
        <v>2416</v>
      </c>
      <c r="B89" s="1767" t="s">
        <v>16</v>
      </c>
      <c r="C89" t="s">
        <v>2773</v>
      </c>
      <c r="D89" t="s">
        <v>2774</v>
      </c>
      <c r="E89" t="s">
        <v>2775</v>
      </c>
      <c r="F89" t="s">
        <v>2519</v>
      </c>
      <c r="G89" t="s">
        <v>2776</v>
      </c>
      <c r="H89" t="s">
        <v>22</v>
      </c>
      <c r="I89" t="s">
        <v>971</v>
      </c>
    </row>
    <row r="90" spans="1:9" ht="11.25" customHeight="1">
      <c r="A90" s="1767" t="s">
        <v>2416</v>
      </c>
      <c r="B90" s="1767" t="s">
        <v>16</v>
      </c>
      <c r="C90" t="s">
        <v>2777</v>
      </c>
      <c r="D90" t="s">
        <v>2778</v>
      </c>
      <c r="E90" t="s">
        <v>2779</v>
      </c>
      <c r="F90" t="s">
        <v>2780</v>
      </c>
      <c r="G90" t="s">
        <v>2781</v>
      </c>
      <c r="H90" t="s">
        <v>22</v>
      </c>
      <c r="I90" t="s">
        <v>971</v>
      </c>
    </row>
    <row r="91" spans="1:9" ht="11.25" customHeight="1">
      <c r="A91" s="1767" t="s">
        <v>2416</v>
      </c>
      <c r="B91" s="1767" t="s">
        <v>16</v>
      </c>
      <c r="C91" t="s">
        <v>2782</v>
      </c>
      <c r="D91" t="s">
        <v>2783</v>
      </c>
      <c r="E91" t="s">
        <v>2784</v>
      </c>
      <c r="F91" t="s">
        <v>2519</v>
      </c>
      <c r="G91" t="s">
        <v>2785</v>
      </c>
      <c r="H91" t="s">
        <v>2786</v>
      </c>
      <c r="I91" t="s">
        <v>971</v>
      </c>
    </row>
    <row r="92" spans="1:9" ht="11.25" customHeight="1">
      <c r="A92" s="1767" t="s">
        <v>2416</v>
      </c>
      <c r="B92" s="1767" t="s">
        <v>16</v>
      </c>
      <c r="C92" t="s">
        <v>2787</v>
      </c>
      <c r="D92" t="s">
        <v>2788</v>
      </c>
      <c r="E92" t="s">
        <v>2789</v>
      </c>
      <c r="F92" t="s">
        <v>2755</v>
      </c>
      <c r="G92" t="s">
        <v>2790</v>
      </c>
      <c r="H92" t="s">
        <v>22</v>
      </c>
      <c r="I92" t="s">
        <v>971</v>
      </c>
    </row>
    <row r="93" spans="1:9" ht="11.25" customHeight="1">
      <c r="A93" s="1767" t="s">
        <v>2416</v>
      </c>
      <c r="B93" s="1767" t="s">
        <v>16</v>
      </c>
      <c r="C93" t="s">
        <v>2791</v>
      </c>
      <c r="D93" t="s">
        <v>2792</v>
      </c>
      <c r="E93" t="s">
        <v>2793</v>
      </c>
      <c r="F93" t="s">
        <v>2471</v>
      </c>
      <c r="G93" t="s">
        <v>2794</v>
      </c>
      <c r="H93" t="s">
        <v>22</v>
      </c>
      <c r="I93" t="s">
        <v>971</v>
      </c>
    </row>
    <row r="94" spans="1:9" ht="11.25" customHeight="1">
      <c r="A94" s="1767" t="s">
        <v>2416</v>
      </c>
      <c r="B94" s="1767" t="s">
        <v>16</v>
      </c>
      <c r="C94" t="s">
        <v>2795</v>
      </c>
      <c r="D94" t="s">
        <v>2796</v>
      </c>
      <c r="E94" t="s">
        <v>2797</v>
      </c>
      <c r="F94" t="s">
        <v>2519</v>
      </c>
      <c r="G94" t="s">
        <v>22</v>
      </c>
      <c r="H94" t="s">
        <v>22</v>
      </c>
      <c r="I94" t="s">
        <v>971</v>
      </c>
    </row>
    <row r="95" spans="1:9" ht="11.25" customHeight="1">
      <c r="A95" s="1767" t="s">
        <v>2416</v>
      </c>
      <c r="B95" s="1767" t="s">
        <v>16</v>
      </c>
      <c r="C95" t="s">
        <v>2798</v>
      </c>
      <c r="D95" t="s">
        <v>2799</v>
      </c>
      <c r="E95" t="s">
        <v>2800</v>
      </c>
      <c r="F95" t="s">
        <v>2650</v>
      </c>
      <c r="G95" t="s">
        <v>2801</v>
      </c>
      <c r="H95" t="s">
        <v>22</v>
      </c>
      <c r="I95" t="s">
        <v>971</v>
      </c>
    </row>
    <row r="96" spans="1:9" ht="11.25" customHeight="1">
      <c r="A96" s="1767" t="s">
        <v>2416</v>
      </c>
      <c r="B96" s="1767" t="s">
        <v>16</v>
      </c>
      <c r="C96" t="s">
        <v>2802</v>
      </c>
      <c r="D96" t="s">
        <v>2803</v>
      </c>
      <c r="E96" t="s">
        <v>2804</v>
      </c>
      <c r="F96" t="s">
        <v>2419</v>
      </c>
      <c r="G96" t="s">
        <v>2805</v>
      </c>
      <c r="H96" t="s">
        <v>22</v>
      </c>
      <c r="I96" t="s">
        <v>971</v>
      </c>
    </row>
    <row r="97" spans="1:9" ht="11.25" customHeight="1">
      <c r="A97" s="1767" t="s">
        <v>2416</v>
      </c>
      <c r="B97" s="1767" t="s">
        <v>16</v>
      </c>
      <c r="C97" t="s">
        <v>2806</v>
      </c>
      <c r="D97" t="s">
        <v>2807</v>
      </c>
      <c r="E97" t="s">
        <v>2808</v>
      </c>
      <c r="F97" t="s">
        <v>2809</v>
      </c>
      <c r="G97" t="s">
        <v>2810</v>
      </c>
      <c r="H97" t="s">
        <v>22</v>
      </c>
      <c r="I97" t="s">
        <v>971</v>
      </c>
    </row>
    <row r="98" spans="1:9" ht="11.25" customHeight="1">
      <c r="A98" s="1767" t="s">
        <v>2416</v>
      </c>
      <c r="B98" s="1767" t="s">
        <v>16</v>
      </c>
      <c r="C98" t="s">
        <v>2811</v>
      </c>
      <c r="D98" t="s">
        <v>2812</v>
      </c>
      <c r="E98" t="s">
        <v>2808</v>
      </c>
      <c r="F98" t="s">
        <v>2813</v>
      </c>
      <c r="G98" t="s">
        <v>2810</v>
      </c>
      <c r="H98" t="s">
        <v>22</v>
      </c>
      <c r="I98" t="s">
        <v>971</v>
      </c>
    </row>
    <row r="99" spans="1:9" ht="11.25" customHeight="1">
      <c r="A99" s="1767" t="s">
        <v>2416</v>
      </c>
      <c r="B99" s="1767" t="s">
        <v>16</v>
      </c>
      <c r="C99" t="s">
        <v>2814</v>
      </c>
      <c r="D99" t="s">
        <v>2815</v>
      </c>
      <c r="E99" t="s">
        <v>2816</v>
      </c>
      <c r="F99" t="s">
        <v>2419</v>
      </c>
      <c r="G99" t="s">
        <v>2817</v>
      </c>
      <c r="H99" t="s">
        <v>22</v>
      </c>
      <c r="I99" t="s">
        <v>971</v>
      </c>
    </row>
    <row r="100" spans="1:9" ht="11.25" customHeight="1">
      <c r="A100" s="1767" t="s">
        <v>2416</v>
      </c>
      <c r="B100" s="1767" t="s">
        <v>16</v>
      </c>
      <c r="C100" t="s">
        <v>2818</v>
      </c>
      <c r="D100" t="s">
        <v>2819</v>
      </c>
      <c r="E100" t="s">
        <v>2820</v>
      </c>
      <c r="F100" t="s">
        <v>2419</v>
      </c>
      <c r="G100" t="s">
        <v>2821</v>
      </c>
      <c r="H100" t="s">
        <v>22</v>
      </c>
      <c r="I100" t="s">
        <v>971</v>
      </c>
    </row>
    <row r="101" spans="1:9" ht="11.25" customHeight="1">
      <c r="A101" s="1767" t="s">
        <v>2416</v>
      </c>
      <c r="B101" s="1767" t="s">
        <v>16</v>
      </c>
      <c r="C101" t="s">
        <v>2822</v>
      </c>
      <c r="D101" t="s">
        <v>2823</v>
      </c>
      <c r="E101" t="s">
        <v>2824</v>
      </c>
      <c r="F101" t="s">
        <v>2691</v>
      </c>
      <c r="G101" t="s">
        <v>2825</v>
      </c>
      <c r="H101" t="s">
        <v>22</v>
      </c>
      <c r="I101" t="s">
        <v>971</v>
      </c>
    </row>
    <row r="102" spans="1:9" ht="11.25" customHeight="1">
      <c r="A102" s="1767" t="s">
        <v>2416</v>
      </c>
      <c r="B102" s="1767" t="s">
        <v>16</v>
      </c>
      <c r="C102" t="s">
        <v>2826</v>
      </c>
      <c r="D102" t="s">
        <v>2827</v>
      </c>
      <c r="E102" t="s">
        <v>2828</v>
      </c>
      <c r="F102" t="s">
        <v>2691</v>
      </c>
      <c r="G102" t="s">
        <v>2829</v>
      </c>
      <c r="H102" t="s">
        <v>22</v>
      </c>
      <c r="I102" t="s">
        <v>971</v>
      </c>
    </row>
    <row r="103" spans="1:9" ht="11.25" customHeight="1">
      <c r="A103" s="1767" t="s">
        <v>2416</v>
      </c>
      <c r="B103" s="1767" t="s">
        <v>16</v>
      </c>
      <c r="C103" t="s">
        <v>2830</v>
      </c>
      <c r="D103" t="s">
        <v>2831</v>
      </c>
      <c r="E103" t="s">
        <v>2832</v>
      </c>
      <c r="F103" t="s">
        <v>2650</v>
      </c>
      <c r="G103" t="s">
        <v>2833</v>
      </c>
      <c r="H103" t="s">
        <v>22</v>
      </c>
      <c r="I103" t="s">
        <v>971</v>
      </c>
    </row>
    <row r="104" spans="1:9" ht="11.25" customHeight="1">
      <c r="A104" s="1767" t="s">
        <v>2416</v>
      </c>
      <c r="B104" s="1767" t="s">
        <v>16</v>
      </c>
      <c r="C104" t="s">
        <v>2834</v>
      </c>
      <c r="D104" t="s">
        <v>2835</v>
      </c>
      <c r="E104" t="s">
        <v>2836</v>
      </c>
      <c r="F104" t="s">
        <v>2767</v>
      </c>
      <c r="G104" t="s">
        <v>2837</v>
      </c>
      <c r="H104" t="s">
        <v>22</v>
      </c>
      <c r="I104" t="s">
        <v>971</v>
      </c>
    </row>
    <row r="105" spans="1:9" ht="11.25" customHeight="1">
      <c r="A105" s="1767" t="s">
        <v>2416</v>
      </c>
      <c r="B105" s="1767" t="s">
        <v>16</v>
      </c>
      <c r="C105" t="s">
        <v>2838</v>
      </c>
      <c r="D105" t="s">
        <v>2839</v>
      </c>
      <c r="E105" t="s">
        <v>2840</v>
      </c>
      <c r="F105" t="s">
        <v>2596</v>
      </c>
      <c r="G105" t="s">
        <v>2841</v>
      </c>
      <c r="H105" t="s">
        <v>22</v>
      </c>
      <c r="I105" t="s">
        <v>971</v>
      </c>
    </row>
    <row r="106" spans="1:9" ht="11.25" customHeight="1">
      <c r="A106" s="1767" t="s">
        <v>2416</v>
      </c>
      <c r="B106" s="1767" t="s">
        <v>16</v>
      </c>
      <c r="C106" t="s">
        <v>2842</v>
      </c>
      <c r="D106" t="s">
        <v>2843</v>
      </c>
      <c r="E106" t="s">
        <v>2844</v>
      </c>
      <c r="F106" t="s">
        <v>2767</v>
      </c>
      <c r="G106" t="s">
        <v>2845</v>
      </c>
      <c r="H106" t="s">
        <v>22</v>
      </c>
      <c r="I106" t="s">
        <v>971</v>
      </c>
    </row>
    <row r="107" spans="1:9" ht="11.25" customHeight="1">
      <c r="A107" s="1767" t="s">
        <v>2416</v>
      </c>
      <c r="B107" s="1767" t="s">
        <v>16</v>
      </c>
      <c r="C107" t="s">
        <v>2846</v>
      </c>
      <c r="D107" t="s">
        <v>2847</v>
      </c>
      <c r="E107" t="s">
        <v>2848</v>
      </c>
      <c r="F107" t="s">
        <v>2423</v>
      </c>
      <c r="G107" t="s">
        <v>2849</v>
      </c>
      <c r="H107" t="s">
        <v>22</v>
      </c>
      <c r="I107" t="s">
        <v>971</v>
      </c>
    </row>
    <row r="108" spans="1:9" ht="11.25" customHeight="1">
      <c r="A108" s="1767" t="s">
        <v>2416</v>
      </c>
      <c r="B108" s="1767" t="s">
        <v>16</v>
      </c>
      <c r="C108" t="s">
        <v>2850</v>
      </c>
      <c r="D108" t="s">
        <v>2851</v>
      </c>
      <c r="E108" t="s">
        <v>2852</v>
      </c>
      <c r="F108" t="s">
        <v>2691</v>
      </c>
      <c r="G108" t="s">
        <v>2853</v>
      </c>
      <c r="H108" t="s">
        <v>22</v>
      </c>
      <c r="I108" t="s">
        <v>971</v>
      </c>
    </row>
    <row r="109" spans="1:9" ht="11.25" customHeight="1">
      <c r="A109" s="1767" t="s">
        <v>2416</v>
      </c>
      <c r="B109" s="1767" t="s">
        <v>16</v>
      </c>
      <c r="C109" t="s">
        <v>2854</v>
      </c>
      <c r="D109" t="s">
        <v>2855</v>
      </c>
      <c r="E109" t="s">
        <v>2856</v>
      </c>
      <c r="F109" t="s">
        <v>2614</v>
      </c>
      <c r="G109" t="s">
        <v>2857</v>
      </c>
      <c r="H109" t="s">
        <v>22</v>
      </c>
      <c r="I109" t="s">
        <v>971</v>
      </c>
    </row>
    <row r="110" spans="1:9" ht="11.25" customHeight="1">
      <c r="A110" s="1767" t="s">
        <v>2416</v>
      </c>
      <c r="B110" s="1767" t="s">
        <v>16</v>
      </c>
      <c r="C110" t="s">
        <v>2858</v>
      </c>
      <c r="D110" t="s">
        <v>2859</v>
      </c>
      <c r="E110" t="s">
        <v>2860</v>
      </c>
      <c r="F110" t="s">
        <v>2540</v>
      </c>
      <c r="G110" t="s">
        <v>2861</v>
      </c>
      <c r="H110" t="s">
        <v>22</v>
      </c>
      <c r="I110" t="s">
        <v>971</v>
      </c>
    </row>
    <row r="111" spans="1:9" ht="11.25" customHeight="1">
      <c r="A111" s="1767" t="s">
        <v>2416</v>
      </c>
      <c r="B111" s="1767" t="s">
        <v>16</v>
      </c>
      <c r="C111" t="s">
        <v>2862</v>
      </c>
      <c r="D111" t="s">
        <v>2863</v>
      </c>
      <c r="E111" t="s">
        <v>2864</v>
      </c>
      <c r="F111" t="s">
        <v>2527</v>
      </c>
      <c r="G111" t="s">
        <v>2865</v>
      </c>
      <c r="H111" t="s">
        <v>22</v>
      </c>
      <c r="I111" t="s">
        <v>971</v>
      </c>
    </row>
    <row r="112" spans="1:9" ht="11.25" customHeight="1">
      <c r="A112" s="1767" t="s">
        <v>2416</v>
      </c>
      <c r="B112" s="1767" t="s">
        <v>16</v>
      </c>
      <c r="C112" t="s">
        <v>2866</v>
      </c>
      <c r="D112" t="s">
        <v>2867</v>
      </c>
      <c r="E112" t="s">
        <v>2868</v>
      </c>
      <c r="F112" t="s">
        <v>2419</v>
      </c>
      <c r="G112" t="s">
        <v>2869</v>
      </c>
      <c r="H112" t="s">
        <v>22</v>
      </c>
      <c r="I112" t="s">
        <v>971</v>
      </c>
    </row>
    <row r="113" spans="1:9" ht="11.25" customHeight="1">
      <c r="A113" s="1767" t="s">
        <v>2416</v>
      </c>
      <c r="B113" s="1767" t="s">
        <v>16</v>
      </c>
      <c r="C113" t="s">
        <v>2870</v>
      </c>
      <c r="D113" t="s">
        <v>2871</v>
      </c>
      <c r="E113" t="s">
        <v>2872</v>
      </c>
      <c r="F113" t="s">
        <v>2419</v>
      </c>
      <c r="G113" t="s">
        <v>2873</v>
      </c>
      <c r="H113" t="s">
        <v>22</v>
      </c>
      <c r="I113" t="s">
        <v>971</v>
      </c>
    </row>
    <row r="114" spans="1:9" ht="11.25" customHeight="1">
      <c r="A114" s="1767" t="s">
        <v>2416</v>
      </c>
      <c r="B114" s="1767" t="s">
        <v>16</v>
      </c>
      <c r="C114" t="s">
        <v>2874</v>
      </c>
      <c r="D114" t="s">
        <v>2875</v>
      </c>
      <c r="E114" t="s">
        <v>2876</v>
      </c>
      <c r="F114" t="s">
        <v>2780</v>
      </c>
      <c r="G114" t="s">
        <v>2877</v>
      </c>
      <c r="H114" t="s">
        <v>22</v>
      </c>
      <c r="I114" t="s">
        <v>971</v>
      </c>
    </row>
    <row r="115" spans="1:9" ht="11.25" customHeight="1">
      <c r="A115" s="1767" t="s">
        <v>2416</v>
      </c>
      <c r="B115" s="1767" t="s">
        <v>16</v>
      </c>
      <c r="C115" t="s">
        <v>2878</v>
      </c>
      <c r="D115" t="s">
        <v>2879</v>
      </c>
      <c r="E115" t="s">
        <v>2880</v>
      </c>
      <c r="F115" t="s">
        <v>2596</v>
      </c>
      <c r="G115" t="s">
        <v>2881</v>
      </c>
      <c r="H115" t="s">
        <v>22</v>
      </c>
      <c r="I115" t="s">
        <v>971</v>
      </c>
    </row>
    <row r="116" spans="1:9" ht="11.25" customHeight="1">
      <c r="A116" s="1767" t="s">
        <v>2416</v>
      </c>
      <c r="B116" s="1767" t="s">
        <v>16</v>
      </c>
      <c r="C116" t="s">
        <v>2882</v>
      </c>
      <c r="D116" t="s">
        <v>2883</v>
      </c>
      <c r="E116" t="s">
        <v>2884</v>
      </c>
      <c r="F116" t="s">
        <v>2614</v>
      </c>
      <c r="G116" t="s">
        <v>2885</v>
      </c>
      <c r="H116" t="s">
        <v>22</v>
      </c>
      <c r="I116" t="s">
        <v>971</v>
      </c>
    </row>
    <row r="117" spans="1:9" ht="11.25" customHeight="1">
      <c r="A117" s="1767" t="s">
        <v>2416</v>
      </c>
      <c r="B117" s="1767" t="s">
        <v>16</v>
      </c>
      <c r="C117" t="s">
        <v>2886</v>
      </c>
      <c r="D117" t="s">
        <v>2887</v>
      </c>
      <c r="E117" t="s">
        <v>2888</v>
      </c>
      <c r="F117" t="s">
        <v>2691</v>
      </c>
      <c r="G117" t="s">
        <v>2889</v>
      </c>
      <c r="H117" t="s">
        <v>22</v>
      </c>
      <c r="I117" t="s">
        <v>971</v>
      </c>
    </row>
    <row r="118" spans="1:9" ht="11.25" customHeight="1">
      <c r="A118" s="1767" t="s">
        <v>2416</v>
      </c>
      <c r="B118" s="1767" t="s">
        <v>16</v>
      </c>
      <c r="C118" t="s">
        <v>2890</v>
      </c>
      <c r="D118" t="s">
        <v>2891</v>
      </c>
      <c r="E118" t="s">
        <v>2892</v>
      </c>
      <c r="F118" t="s">
        <v>2893</v>
      </c>
      <c r="G118" t="s">
        <v>22</v>
      </c>
      <c r="H118" t="s">
        <v>22</v>
      </c>
      <c r="I118" t="s">
        <v>971</v>
      </c>
    </row>
    <row r="119" spans="1:9" ht="11.25" customHeight="1">
      <c r="A119" s="1767" t="s">
        <v>2416</v>
      </c>
      <c r="B119" s="1767" t="s">
        <v>16</v>
      </c>
      <c r="C119" t="s">
        <v>2894</v>
      </c>
      <c r="D119" t="s">
        <v>2895</v>
      </c>
      <c r="E119" t="s">
        <v>2896</v>
      </c>
      <c r="F119" t="s">
        <v>2767</v>
      </c>
      <c r="G119" t="s">
        <v>2897</v>
      </c>
      <c r="H119" t="s">
        <v>22</v>
      </c>
      <c r="I119" t="s">
        <v>971</v>
      </c>
    </row>
    <row r="120" spans="1:9" ht="11.25" customHeight="1">
      <c r="A120" s="1767" t="s">
        <v>2416</v>
      </c>
      <c r="B120" s="1767" t="s">
        <v>16</v>
      </c>
      <c r="C120" t="s">
        <v>2898</v>
      </c>
      <c r="D120" t="s">
        <v>2899</v>
      </c>
      <c r="E120" t="s">
        <v>2900</v>
      </c>
      <c r="F120" t="s">
        <v>2596</v>
      </c>
      <c r="G120" t="s">
        <v>2901</v>
      </c>
      <c r="H120" t="s">
        <v>22</v>
      </c>
      <c r="I120" t="s">
        <v>971</v>
      </c>
    </row>
    <row r="121" spans="1:9" ht="11.25" customHeight="1">
      <c r="A121" s="1767" t="s">
        <v>2416</v>
      </c>
      <c r="B121" s="1767" t="s">
        <v>16</v>
      </c>
      <c r="C121" t="s">
        <v>2902</v>
      </c>
      <c r="D121" t="s">
        <v>2903</v>
      </c>
      <c r="E121" t="s">
        <v>2904</v>
      </c>
      <c r="F121" t="s">
        <v>2780</v>
      </c>
      <c r="G121" t="s">
        <v>22</v>
      </c>
      <c r="H121" t="s">
        <v>22</v>
      </c>
      <c r="I121" t="s">
        <v>971</v>
      </c>
    </row>
    <row r="122" spans="1:9" ht="11.25" customHeight="1">
      <c r="A122" s="1767" t="s">
        <v>2416</v>
      </c>
      <c r="B122" s="1767" t="s">
        <v>16</v>
      </c>
      <c r="C122" t="s">
        <v>2905</v>
      </c>
      <c r="D122" t="s">
        <v>2906</v>
      </c>
      <c r="E122" t="s">
        <v>2907</v>
      </c>
      <c r="F122" t="s">
        <v>2908</v>
      </c>
      <c r="G122" t="s">
        <v>2909</v>
      </c>
      <c r="H122" t="s">
        <v>22</v>
      </c>
      <c r="I122" t="s">
        <v>971</v>
      </c>
    </row>
    <row r="123" spans="1:9" ht="11.25" customHeight="1">
      <c r="A123" s="1767" t="s">
        <v>2416</v>
      </c>
      <c r="B123" s="1767" t="s">
        <v>16</v>
      </c>
      <c r="C123" t="s">
        <v>2910</v>
      </c>
      <c r="D123" t="s">
        <v>2911</v>
      </c>
      <c r="E123" t="s">
        <v>2912</v>
      </c>
      <c r="F123" t="s">
        <v>2691</v>
      </c>
      <c r="G123" t="s">
        <v>2913</v>
      </c>
      <c r="H123" t="s">
        <v>22</v>
      </c>
      <c r="I123" t="s">
        <v>971</v>
      </c>
    </row>
    <row r="124" spans="1:9" ht="11.25" customHeight="1">
      <c r="A124" s="1767" t="s">
        <v>2416</v>
      </c>
      <c r="B124" s="1767" t="s">
        <v>16</v>
      </c>
      <c r="C124" t="s">
        <v>2914</v>
      </c>
      <c r="D124" t="s">
        <v>2915</v>
      </c>
      <c r="E124" t="s">
        <v>2916</v>
      </c>
      <c r="F124" t="s">
        <v>2471</v>
      </c>
      <c r="G124" t="s">
        <v>2917</v>
      </c>
      <c r="H124" t="s">
        <v>22</v>
      </c>
      <c r="I124" t="s">
        <v>971</v>
      </c>
    </row>
    <row r="125" spans="1:9" ht="11.25" customHeight="1">
      <c r="A125" s="1767" t="s">
        <v>2416</v>
      </c>
      <c r="B125" s="1767" t="s">
        <v>16</v>
      </c>
      <c r="C125" t="s">
        <v>2918</v>
      </c>
      <c r="D125" t="s">
        <v>2919</v>
      </c>
      <c r="E125" t="s">
        <v>2920</v>
      </c>
      <c r="F125" t="s">
        <v>2419</v>
      </c>
      <c r="G125" t="s">
        <v>2921</v>
      </c>
      <c r="H125" t="s">
        <v>22</v>
      </c>
      <c r="I125" t="s">
        <v>971</v>
      </c>
    </row>
    <row r="126" spans="1:9" ht="11.25" customHeight="1">
      <c r="A126" s="1767" t="s">
        <v>2416</v>
      </c>
      <c r="B126" s="1767" t="s">
        <v>16</v>
      </c>
      <c r="C126" t="s">
        <v>2922</v>
      </c>
      <c r="D126" t="s">
        <v>2923</v>
      </c>
      <c r="E126" t="s">
        <v>2924</v>
      </c>
      <c r="F126" t="s">
        <v>2481</v>
      </c>
      <c r="G126" t="s">
        <v>2925</v>
      </c>
      <c r="H126" t="s">
        <v>22</v>
      </c>
      <c r="I126" t="s">
        <v>971</v>
      </c>
    </row>
    <row r="127" spans="1:9" ht="11.25" customHeight="1">
      <c r="A127" s="1767" t="s">
        <v>2416</v>
      </c>
      <c r="B127" s="1767" t="s">
        <v>16</v>
      </c>
      <c r="C127" t="s">
        <v>2926</v>
      </c>
      <c r="D127" t="s">
        <v>2927</v>
      </c>
      <c r="E127" t="s">
        <v>2928</v>
      </c>
      <c r="F127" t="s">
        <v>2423</v>
      </c>
      <c r="G127" t="s">
        <v>2929</v>
      </c>
      <c r="H127" t="s">
        <v>22</v>
      </c>
      <c r="I127" t="s">
        <v>971</v>
      </c>
    </row>
    <row r="128" spans="1:9" ht="11.25" customHeight="1">
      <c r="A128" s="1767" t="s">
        <v>2416</v>
      </c>
      <c r="B128" s="1767" t="s">
        <v>16</v>
      </c>
      <c r="C128" t="s">
        <v>2930</v>
      </c>
      <c r="D128" t="s">
        <v>2931</v>
      </c>
      <c r="E128" t="s">
        <v>2932</v>
      </c>
      <c r="F128" t="s">
        <v>2767</v>
      </c>
      <c r="G128" t="s">
        <v>2933</v>
      </c>
      <c r="H128" t="s">
        <v>22</v>
      </c>
      <c r="I128" t="s">
        <v>971</v>
      </c>
    </row>
    <row r="129" spans="1:9" ht="11.25" customHeight="1">
      <c r="A129" s="1767" t="s">
        <v>2416</v>
      </c>
      <c r="B129" s="1767" t="s">
        <v>16</v>
      </c>
      <c r="C129" t="s">
        <v>2934</v>
      </c>
      <c r="D129" t="s">
        <v>2935</v>
      </c>
      <c r="E129" t="s">
        <v>2936</v>
      </c>
      <c r="F129" t="s">
        <v>2691</v>
      </c>
      <c r="G129" t="s">
        <v>2937</v>
      </c>
      <c r="H129" t="s">
        <v>22</v>
      </c>
      <c r="I129" t="s">
        <v>971</v>
      </c>
    </row>
    <row r="130" spans="1:9" ht="11.25" customHeight="1">
      <c r="A130" s="1767" t="s">
        <v>2416</v>
      </c>
      <c r="B130" s="1767" t="s">
        <v>16</v>
      </c>
      <c r="C130" t="s">
        <v>2938</v>
      </c>
      <c r="D130" t="s">
        <v>2939</v>
      </c>
      <c r="E130" t="s">
        <v>2940</v>
      </c>
      <c r="F130" t="s">
        <v>2419</v>
      </c>
      <c r="G130" t="s">
        <v>2941</v>
      </c>
      <c r="H130" t="s">
        <v>22</v>
      </c>
      <c r="I130" t="s">
        <v>971</v>
      </c>
    </row>
    <row r="131" spans="1:9" ht="11.25" customHeight="1">
      <c r="A131" s="1767" t="s">
        <v>2416</v>
      </c>
      <c r="B131" s="1767" t="s">
        <v>16</v>
      </c>
      <c r="C131" t="s">
        <v>2942</v>
      </c>
      <c r="D131" t="s">
        <v>2943</v>
      </c>
      <c r="E131" t="s">
        <v>2944</v>
      </c>
      <c r="F131" t="s">
        <v>2755</v>
      </c>
      <c r="G131" t="s">
        <v>2945</v>
      </c>
      <c r="H131" t="s">
        <v>22</v>
      </c>
      <c r="I131" t="s">
        <v>971</v>
      </c>
    </row>
    <row r="132" spans="1:9" ht="11.25" customHeight="1">
      <c r="A132" s="1767" t="s">
        <v>2416</v>
      </c>
      <c r="B132" s="1767" t="s">
        <v>16</v>
      </c>
      <c r="C132" t="s">
        <v>2946</v>
      </c>
      <c r="D132" t="s">
        <v>2947</v>
      </c>
      <c r="E132" t="s">
        <v>2948</v>
      </c>
      <c r="F132" t="s">
        <v>2423</v>
      </c>
      <c r="G132" t="s">
        <v>2949</v>
      </c>
      <c r="H132" t="s">
        <v>22</v>
      </c>
      <c r="I132" t="s">
        <v>971</v>
      </c>
    </row>
    <row r="133" spans="1:9" ht="11.25" customHeight="1">
      <c r="A133" s="1767" t="s">
        <v>2416</v>
      </c>
      <c r="B133" s="1767" t="s">
        <v>16</v>
      </c>
      <c r="C133" t="s">
        <v>2950</v>
      </c>
      <c r="D133" t="s">
        <v>2951</v>
      </c>
      <c r="E133" t="s">
        <v>2952</v>
      </c>
      <c r="F133" t="s">
        <v>2419</v>
      </c>
      <c r="G133" t="s">
        <v>2953</v>
      </c>
      <c r="H133" t="s">
        <v>22</v>
      </c>
      <c r="I133" t="s">
        <v>971</v>
      </c>
    </row>
    <row r="134" spans="1:9" ht="11.25" customHeight="1">
      <c r="A134" s="1767" t="s">
        <v>2416</v>
      </c>
      <c r="B134" s="1767" t="s">
        <v>16</v>
      </c>
      <c r="C134" t="s">
        <v>2954</v>
      </c>
      <c r="D134" t="s">
        <v>2955</v>
      </c>
      <c r="E134" t="s">
        <v>2956</v>
      </c>
      <c r="F134" t="s">
        <v>2419</v>
      </c>
      <c r="G134" t="s">
        <v>2957</v>
      </c>
      <c r="H134" t="s">
        <v>22</v>
      </c>
      <c r="I134" t="s">
        <v>971</v>
      </c>
    </row>
    <row r="135" spans="1:9" ht="11.25" customHeight="1">
      <c r="A135" s="1767" t="s">
        <v>2416</v>
      </c>
      <c r="B135" s="1767" t="s">
        <v>16</v>
      </c>
      <c r="C135" t="s">
        <v>2958</v>
      </c>
      <c r="D135" t="s">
        <v>2959</v>
      </c>
      <c r="E135" t="s">
        <v>2960</v>
      </c>
      <c r="F135" t="s">
        <v>2419</v>
      </c>
      <c r="G135" t="s">
        <v>2961</v>
      </c>
      <c r="H135" t="s">
        <v>22</v>
      </c>
      <c r="I135" t="s">
        <v>971</v>
      </c>
    </row>
    <row r="136" spans="1:9" ht="11.25" customHeight="1">
      <c r="A136" s="1767" t="s">
        <v>2416</v>
      </c>
      <c r="B136" s="1767" t="s">
        <v>16</v>
      </c>
      <c r="C136" t="s">
        <v>2962</v>
      </c>
      <c r="D136" t="s">
        <v>2963</v>
      </c>
      <c r="E136" t="s">
        <v>2964</v>
      </c>
      <c r="F136" t="s">
        <v>2419</v>
      </c>
      <c r="G136" t="s">
        <v>2965</v>
      </c>
      <c r="H136" t="s">
        <v>22</v>
      </c>
      <c r="I136" t="s">
        <v>971</v>
      </c>
    </row>
    <row r="137" spans="1:9" ht="11.25" customHeight="1">
      <c r="A137" s="1767" t="s">
        <v>2416</v>
      </c>
      <c r="B137" s="1767" t="s">
        <v>16</v>
      </c>
      <c r="C137" t="s">
        <v>2966</v>
      </c>
      <c r="D137" t="s">
        <v>2967</v>
      </c>
      <c r="E137" t="s">
        <v>2968</v>
      </c>
      <c r="F137" t="s">
        <v>2419</v>
      </c>
      <c r="G137" t="s">
        <v>2969</v>
      </c>
      <c r="H137" t="s">
        <v>22</v>
      </c>
      <c r="I137" t="s">
        <v>971</v>
      </c>
    </row>
    <row r="138" spans="1:9" ht="11.25" customHeight="1">
      <c r="A138" s="1767" t="s">
        <v>2416</v>
      </c>
      <c r="B138" s="1767" t="s">
        <v>16</v>
      </c>
      <c r="C138" t="s">
        <v>2970</v>
      </c>
      <c r="D138" t="s">
        <v>2971</v>
      </c>
      <c r="E138" t="s">
        <v>2972</v>
      </c>
      <c r="F138" t="s">
        <v>2471</v>
      </c>
      <c r="G138" t="s">
        <v>2973</v>
      </c>
      <c r="H138" t="s">
        <v>22</v>
      </c>
      <c r="I138" t="s">
        <v>971</v>
      </c>
    </row>
    <row r="139" spans="1:9" ht="11.25" customHeight="1">
      <c r="A139" s="1767" t="s">
        <v>2416</v>
      </c>
      <c r="B139" s="1767" t="s">
        <v>16</v>
      </c>
      <c r="C139" t="s">
        <v>2974</v>
      </c>
      <c r="D139" t="s">
        <v>2975</v>
      </c>
      <c r="E139" t="s">
        <v>2976</v>
      </c>
      <c r="F139" t="s">
        <v>2618</v>
      </c>
      <c r="G139" t="s">
        <v>2977</v>
      </c>
      <c r="H139" t="s">
        <v>22</v>
      </c>
      <c r="I139" t="s">
        <v>971</v>
      </c>
    </row>
    <row r="140" spans="1:9" ht="11.25" customHeight="1">
      <c r="A140" s="1767" t="s">
        <v>2416</v>
      </c>
      <c r="B140" s="1767" t="s">
        <v>16</v>
      </c>
      <c r="C140" t="s">
        <v>2978</v>
      </c>
      <c r="D140" t="s">
        <v>2979</v>
      </c>
      <c r="E140" t="s">
        <v>2980</v>
      </c>
      <c r="F140" t="s">
        <v>2691</v>
      </c>
      <c r="G140" t="s">
        <v>2981</v>
      </c>
      <c r="H140" t="s">
        <v>22</v>
      </c>
      <c r="I140" t="s">
        <v>971</v>
      </c>
    </row>
    <row r="141" spans="1:9" ht="11.25" customHeight="1">
      <c r="A141" s="1767" t="s">
        <v>2416</v>
      </c>
      <c r="B141" s="1767" t="s">
        <v>16</v>
      </c>
      <c r="C141" t="s">
        <v>2982</v>
      </c>
      <c r="D141" t="s">
        <v>2983</v>
      </c>
      <c r="E141" t="s">
        <v>2984</v>
      </c>
      <c r="F141" t="s">
        <v>2691</v>
      </c>
      <c r="G141" t="s">
        <v>22</v>
      </c>
      <c r="H141" t="s">
        <v>22</v>
      </c>
      <c r="I141" t="s">
        <v>971</v>
      </c>
    </row>
    <row r="142" spans="1:9" ht="11.25" customHeight="1">
      <c r="A142" s="1767" t="s">
        <v>2416</v>
      </c>
      <c r="B142" s="1767" t="s">
        <v>16</v>
      </c>
      <c r="C142" t="s">
        <v>2985</v>
      </c>
      <c r="D142" t="s">
        <v>2986</v>
      </c>
      <c r="E142" t="s">
        <v>2987</v>
      </c>
      <c r="F142" t="s">
        <v>2419</v>
      </c>
      <c r="G142" t="s">
        <v>2988</v>
      </c>
      <c r="H142" t="s">
        <v>22</v>
      </c>
      <c r="I142" t="s">
        <v>971</v>
      </c>
    </row>
    <row r="143" spans="1:9" ht="11.25" customHeight="1">
      <c r="A143" s="1767" t="s">
        <v>2416</v>
      </c>
      <c r="B143" s="1767" t="s">
        <v>16</v>
      </c>
      <c r="C143" t="s">
        <v>2989</v>
      </c>
      <c r="D143" t="s">
        <v>2990</v>
      </c>
      <c r="E143" t="s">
        <v>2991</v>
      </c>
      <c r="F143" t="s">
        <v>2691</v>
      </c>
      <c r="G143" t="s">
        <v>22</v>
      </c>
      <c r="H143" t="s">
        <v>22</v>
      </c>
      <c r="I143" t="s">
        <v>971</v>
      </c>
    </row>
    <row r="144" spans="1:9" ht="11.25" customHeight="1">
      <c r="A144" s="1767" t="s">
        <v>2416</v>
      </c>
      <c r="B144" s="1767" t="s">
        <v>16</v>
      </c>
      <c r="C144" t="s">
        <v>2992</v>
      </c>
      <c r="D144" t="s">
        <v>2993</v>
      </c>
      <c r="E144" t="s">
        <v>2994</v>
      </c>
      <c r="F144" t="s">
        <v>2618</v>
      </c>
      <c r="G144" t="s">
        <v>2995</v>
      </c>
      <c r="H144" t="s">
        <v>22</v>
      </c>
      <c r="I144" t="s">
        <v>971</v>
      </c>
    </row>
    <row r="145" spans="1:9" ht="11.25" customHeight="1">
      <c r="A145" s="1767" t="s">
        <v>2416</v>
      </c>
      <c r="B145" s="1767" t="s">
        <v>16</v>
      </c>
      <c r="C145" t="s">
        <v>2996</v>
      </c>
      <c r="D145" t="s">
        <v>2997</v>
      </c>
      <c r="E145" t="s">
        <v>2998</v>
      </c>
      <c r="F145" t="s">
        <v>2609</v>
      </c>
      <c r="G145" t="s">
        <v>2999</v>
      </c>
      <c r="H145" t="s">
        <v>22</v>
      </c>
      <c r="I145" t="s">
        <v>971</v>
      </c>
    </row>
    <row r="146" spans="1:9" ht="11.25" customHeight="1">
      <c r="A146" s="1767" t="s">
        <v>2416</v>
      </c>
      <c r="B146" s="1767" t="s">
        <v>16</v>
      </c>
      <c r="C146" t="s">
        <v>3000</v>
      </c>
      <c r="D146" t="s">
        <v>3001</v>
      </c>
      <c r="E146" t="s">
        <v>3002</v>
      </c>
      <c r="F146" t="s">
        <v>2481</v>
      </c>
      <c r="G146" t="s">
        <v>3003</v>
      </c>
      <c r="H146" t="s">
        <v>22</v>
      </c>
      <c r="I146" t="s">
        <v>971</v>
      </c>
    </row>
    <row r="147" spans="1:9" ht="11.25" customHeight="1">
      <c r="A147" s="1767" t="s">
        <v>2416</v>
      </c>
      <c r="B147" s="1767" t="s">
        <v>16</v>
      </c>
      <c r="C147" t="s">
        <v>3004</v>
      </c>
      <c r="D147" t="s">
        <v>3005</v>
      </c>
      <c r="E147" t="s">
        <v>3006</v>
      </c>
      <c r="F147" t="s">
        <v>2423</v>
      </c>
      <c r="G147" t="s">
        <v>3007</v>
      </c>
      <c r="H147" t="s">
        <v>22</v>
      </c>
      <c r="I147" t="s">
        <v>971</v>
      </c>
    </row>
    <row r="148" spans="1:9" ht="11.25" customHeight="1">
      <c r="A148" s="1767" t="s">
        <v>2416</v>
      </c>
      <c r="B148" s="1767" t="s">
        <v>16</v>
      </c>
      <c r="C148" t="s">
        <v>3008</v>
      </c>
      <c r="D148" t="s">
        <v>3009</v>
      </c>
      <c r="E148" t="s">
        <v>3010</v>
      </c>
      <c r="F148" t="s">
        <v>2419</v>
      </c>
      <c r="G148" t="s">
        <v>3011</v>
      </c>
      <c r="H148" t="s">
        <v>22</v>
      </c>
      <c r="I148" t="s">
        <v>971</v>
      </c>
    </row>
    <row r="149" spans="1:9" ht="11.25" customHeight="1">
      <c r="A149" s="1767" t="s">
        <v>2416</v>
      </c>
      <c r="B149" s="1767" t="s">
        <v>16</v>
      </c>
      <c r="C149" t="s">
        <v>3012</v>
      </c>
      <c r="D149" t="s">
        <v>3013</v>
      </c>
      <c r="E149" t="s">
        <v>3014</v>
      </c>
      <c r="F149" t="s">
        <v>2780</v>
      </c>
      <c r="G149" t="s">
        <v>3015</v>
      </c>
      <c r="H149" t="s">
        <v>22</v>
      </c>
      <c r="I149" t="s">
        <v>971</v>
      </c>
    </row>
    <row r="150" spans="1:9" ht="11.25" customHeight="1">
      <c r="A150" s="1767" t="s">
        <v>2416</v>
      </c>
      <c r="B150" s="1767" t="s">
        <v>16</v>
      </c>
      <c r="C150" t="s">
        <v>3016</v>
      </c>
      <c r="D150" t="s">
        <v>3017</v>
      </c>
      <c r="E150" t="s">
        <v>3018</v>
      </c>
      <c r="F150" t="s">
        <v>2755</v>
      </c>
      <c r="G150" t="s">
        <v>3019</v>
      </c>
      <c r="H150" t="s">
        <v>22</v>
      </c>
      <c r="I150" t="s">
        <v>971</v>
      </c>
    </row>
    <row r="151" spans="1:9" ht="11.25" customHeight="1">
      <c r="A151" s="1767" t="s">
        <v>2416</v>
      </c>
      <c r="B151" s="1767" t="s">
        <v>16</v>
      </c>
      <c r="C151" t="s">
        <v>3020</v>
      </c>
      <c r="D151" t="s">
        <v>3021</v>
      </c>
      <c r="E151" t="s">
        <v>3022</v>
      </c>
      <c r="F151" t="s">
        <v>2691</v>
      </c>
      <c r="G151" t="s">
        <v>3023</v>
      </c>
      <c r="H151" t="s">
        <v>22</v>
      </c>
      <c r="I151" t="s">
        <v>971</v>
      </c>
    </row>
    <row r="152" spans="1:9" ht="11.25" customHeight="1">
      <c r="A152" s="1767" t="s">
        <v>2416</v>
      </c>
      <c r="B152" s="1767" t="s">
        <v>16</v>
      </c>
      <c r="C152" t="s">
        <v>3024</v>
      </c>
      <c r="D152" t="s">
        <v>3025</v>
      </c>
      <c r="E152" t="s">
        <v>3026</v>
      </c>
      <c r="F152" t="s">
        <v>2618</v>
      </c>
      <c r="G152" t="s">
        <v>3027</v>
      </c>
      <c r="H152" t="s">
        <v>22</v>
      </c>
      <c r="I152" t="s">
        <v>971</v>
      </c>
    </row>
    <row r="153" spans="1:9" ht="11.25" customHeight="1">
      <c r="A153" s="1767" t="s">
        <v>2416</v>
      </c>
      <c r="B153" s="1767" t="s">
        <v>16</v>
      </c>
      <c r="C153" t="s">
        <v>3028</v>
      </c>
      <c r="D153" t="s">
        <v>3029</v>
      </c>
      <c r="E153" t="s">
        <v>3030</v>
      </c>
      <c r="F153" t="s">
        <v>2419</v>
      </c>
      <c r="G153" t="s">
        <v>3031</v>
      </c>
      <c r="H153" t="s">
        <v>22</v>
      </c>
      <c r="I153" t="s">
        <v>971</v>
      </c>
    </row>
    <row r="154" spans="1:9" ht="11.25" customHeight="1">
      <c r="A154" s="1767" t="s">
        <v>2416</v>
      </c>
      <c r="B154" s="1767" t="s">
        <v>16</v>
      </c>
      <c r="C154" t="s">
        <v>3032</v>
      </c>
      <c r="D154" t="s">
        <v>3033</v>
      </c>
      <c r="E154" t="s">
        <v>3034</v>
      </c>
      <c r="F154" t="s">
        <v>2419</v>
      </c>
      <c r="G154" t="s">
        <v>22</v>
      </c>
      <c r="H154" t="s">
        <v>22</v>
      </c>
      <c r="I154" t="s">
        <v>971</v>
      </c>
    </row>
    <row r="155" spans="1:9" ht="11.25" customHeight="1">
      <c r="A155" s="1767" t="s">
        <v>2416</v>
      </c>
      <c r="B155" s="1767" t="s">
        <v>16</v>
      </c>
      <c r="C155" t="s">
        <v>3035</v>
      </c>
      <c r="D155" t="s">
        <v>3036</v>
      </c>
      <c r="E155" t="s">
        <v>3037</v>
      </c>
      <c r="F155" t="s">
        <v>2419</v>
      </c>
      <c r="G155" t="s">
        <v>3038</v>
      </c>
      <c r="H155" t="s">
        <v>3039</v>
      </c>
      <c r="I155" t="s">
        <v>971</v>
      </c>
    </row>
    <row r="156" spans="1:9" ht="11.25" customHeight="1">
      <c r="A156" s="1767" t="s">
        <v>2416</v>
      </c>
      <c r="B156" s="1767" t="s">
        <v>16</v>
      </c>
      <c r="C156" t="s">
        <v>3040</v>
      </c>
      <c r="D156" t="s">
        <v>3041</v>
      </c>
      <c r="E156" t="s">
        <v>3042</v>
      </c>
      <c r="F156" t="s">
        <v>2519</v>
      </c>
      <c r="G156" t="s">
        <v>22</v>
      </c>
      <c r="H156" t="s">
        <v>22</v>
      </c>
      <c r="I156" t="s">
        <v>971</v>
      </c>
    </row>
    <row r="157" spans="1:9" ht="11.25" customHeight="1">
      <c r="A157" s="1767" t="s">
        <v>2416</v>
      </c>
      <c r="B157" s="1767" t="s">
        <v>16</v>
      </c>
      <c r="C157" t="s">
        <v>3043</v>
      </c>
      <c r="D157" t="s">
        <v>3044</v>
      </c>
      <c r="E157" t="s">
        <v>3045</v>
      </c>
      <c r="F157" t="s">
        <v>2650</v>
      </c>
      <c r="G157" t="s">
        <v>3046</v>
      </c>
      <c r="H157" t="s">
        <v>22</v>
      </c>
      <c r="I157" t="s">
        <v>971</v>
      </c>
    </row>
    <row r="158" spans="1:9" ht="11.25" customHeight="1">
      <c r="A158" s="1767" t="s">
        <v>2416</v>
      </c>
      <c r="B158" s="1767" t="s">
        <v>16</v>
      </c>
      <c r="C158" t="s">
        <v>3047</v>
      </c>
      <c r="D158" t="s">
        <v>3048</v>
      </c>
      <c r="E158" t="s">
        <v>3049</v>
      </c>
      <c r="F158" t="s">
        <v>2519</v>
      </c>
      <c r="G158" t="s">
        <v>3050</v>
      </c>
      <c r="H158" t="s">
        <v>22</v>
      </c>
      <c r="I158" t="s">
        <v>971</v>
      </c>
    </row>
    <row r="159" spans="1:9" ht="11.25" customHeight="1">
      <c r="A159" s="1767" t="s">
        <v>2416</v>
      </c>
      <c r="B159" s="1767" t="s">
        <v>16</v>
      </c>
      <c r="C159" t="s">
        <v>3051</v>
      </c>
      <c r="D159" t="s">
        <v>3052</v>
      </c>
      <c r="E159" t="s">
        <v>3053</v>
      </c>
      <c r="F159" t="s">
        <v>2519</v>
      </c>
      <c r="G159" t="s">
        <v>3054</v>
      </c>
      <c r="H159" t="s">
        <v>22</v>
      </c>
      <c r="I159" t="s">
        <v>971</v>
      </c>
    </row>
    <row r="160" spans="1:9" ht="11.25" customHeight="1">
      <c r="A160" s="1767" t="s">
        <v>2416</v>
      </c>
      <c r="B160" s="1767" t="s">
        <v>16</v>
      </c>
      <c r="C160" t="s">
        <v>3055</v>
      </c>
      <c r="D160" t="s">
        <v>3056</v>
      </c>
      <c r="E160" t="s">
        <v>3057</v>
      </c>
      <c r="F160" t="s">
        <v>2423</v>
      </c>
      <c r="G160" t="s">
        <v>3058</v>
      </c>
      <c r="H160" t="s">
        <v>22</v>
      </c>
      <c r="I160" t="s">
        <v>971</v>
      </c>
    </row>
    <row r="161" spans="1:9" ht="11.25" customHeight="1">
      <c r="A161" s="1767" t="s">
        <v>2416</v>
      </c>
      <c r="B161" s="1767" t="s">
        <v>16</v>
      </c>
      <c r="C161" t="s">
        <v>3059</v>
      </c>
      <c r="D161" t="s">
        <v>3060</v>
      </c>
      <c r="E161" t="s">
        <v>3061</v>
      </c>
      <c r="F161" t="s">
        <v>2519</v>
      </c>
      <c r="G161" t="s">
        <v>3062</v>
      </c>
      <c r="H161" t="s">
        <v>3063</v>
      </c>
      <c r="I161" t="s">
        <v>971</v>
      </c>
    </row>
    <row r="162" spans="1:9" ht="11.25" customHeight="1">
      <c r="A162" s="1767" t="s">
        <v>2416</v>
      </c>
      <c r="B162" s="1767" t="s">
        <v>16</v>
      </c>
      <c r="C162" t="s">
        <v>3064</v>
      </c>
      <c r="D162" t="s">
        <v>3065</v>
      </c>
      <c r="E162" t="s">
        <v>3066</v>
      </c>
      <c r="F162" t="s">
        <v>2614</v>
      </c>
      <c r="G162" t="s">
        <v>22</v>
      </c>
      <c r="H162" t="s">
        <v>22</v>
      </c>
      <c r="I162" t="s">
        <v>971</v>
      </c>
    </row>
    <row r="163" spans="1:9" ht="11.25" customHeight="1">
      <c r="A163" s="1767" t="s">
        <v>2416</v>
      </c>
      <c r="B163" s="1767" t="s">
        <v>16</v>
      </c>
      <c r="C163" t="s">
        <v>3067</v>
      </c>
      <c r="D163" t="s">
        <v>3068</v>
      </c>
      <c r="E163" t="s">
        <v>3069</v>
      </c>
      <c r="F163" t="s">
        <v>2614</v>
      </c>
      <c r="G163" t="s">
        <v>3070</v>
      </c>
      <c r="H163" t="s">
        <v>22</v>
      </c>
      <c r="I163" t="s">
        <v>971</v>
      </c>
    </row>
    <row r="164" spans="1:9" ht="11.25" customHeight="1">
      <c r="A164" s="1767" t="s">
        <v>2416</v>
      </c>
      <c r="B164" s="1767" t="s">
        <v>16</v>
      </c>
      <c r="C164" t="s">
        <v>3071</v>
      </c>
      <c r="D164" t="s">
        <v>3072</v>
      </c>
      <c r="E164" t="s">
        <v>3073</v>
      </c>
      <c r="F164" t="s">
        <v>2596</v>
      </c>
      <c r="G164" t="s">
        <v>3074</v>
      </c>
      <c r="H164" t="s">
        <v>22</v>
      </c>
      <c r="I164" t="s">
        <v>971</v>
      </c>
    </row>
    <row r="165" spans="1:9" ht="11.25" customHeight="1">
      <c r="A165" s="1767" t="s">
        <v>2416</v>
      </c>
      <c r="B165" s="1767" t="s">
        <v>16</v>
      </c>
      <c r="C165" t="s">
        <v>3075</v>
      </c>
      <c r="D165" t="s">
        <v>3076</v>
      </c>
      <c r="E165" t="s">
        <v>3077</v>
      </c>
      <c r="F165" t="s">
        <v>2476</v>
      </c>
      <c r="G165" t="s">
        <v>3007</v>
      </c>
      <c r="H165" t="s">
        <v>22</v>
      </c>
      <c r="I165" t="s">
        <v>971</v>
      </c>
    </row>
    <row r="166" spans="1:9" ht="11.25" customHeight="1">
      <c r="A166" s="1767" t="s">
        <v>2416</v>
      </c>
      <c r="B166" s="1767" t="s">
        <v>16</v>
      </c>
      <c r="C166" t="s">
        <v>3078</v>
      </c>
      <c r="D166" t="s">
        <v>3079</v>
      </c>
      <c r="E166" t="s">
        <v>3080</v>
      </c>
      <c r="F166" t="s">
        <v>3081</v>
      </c>
      <c r="G166" t="s">
        <v>3082</v>
      </c>
      <c r="H166" t="s">
        <v>22</v>
      </c>
      <c r="I166" t="s">
        <v>971</v>
      </c>
    </row>
    <row r="167" spans="1:9" ht="11.25" customHeight="1">
      <c r="A167" s="1767" t="s">
        <v>2416</v>
      </c>
      <c r="B167" s="1767" t="s">
        <v>16</v>
      </c>
      <c r="C167" t="s">
        <v>3083</v>
      </c>
      <c r="D167" t="s">
        <v>3084</v>
      </c>
      <c r="E167" t="s">
        <v>3085</v>
      </c>
      <c r="F167" t="s">
        <v>2614</v>
      </c>
      <c r="G167" t="s">
        <v>3086</v>
      </c>
      <c r="H167" t="s">
        <v>22</v>
      </c>
      <c r="I167" t="s">
        <v>971</v>
      </c>
    </row>
    <row r="168" spans="1:9" ht="11.25" customHeight="1">
      <c r="A168" s="1767" t="s">
        <v>2416</v>
      </c>
      <c r="B168" s="1767" t="s">
        <v>16</v>
      </c>
      <c r="C168" t="s">
        <v>3087</v>
      </c>
      <c r="D168" t="s">
        <v>3088</v>
      </c>
      <c r="E168" t="s">
        <v>3089</v>
      </c>
      <c r="F168" t="s">
        <v>2419</v>
      </c>
      <c r="G168" t="s">
        <v>3090</v>
      </c>
      <c r="H168" t="s">
        <v>22</v>
      </c>
      <c r="I168" t="s">
        <v>971</v>
      </c>
    </row>
    <row r="169" spans="1:9" ht="11.25" customHeight="1">
      <c r="A169" s="1767" t="s">
        <v>2416</v>
      </c>
      <c r="B169" s="1767" t="s">
        <v>16</v>
      </c>
      <c r="C169" t="s">
        <v>3091</v>
      </c>
      <c r="D169" t="s">
        <v>3092</v>
      </c>
      <c r="E169" t="s">
        <v>3093</v>
      </c>
      <c r="F169" t="s">
        <v>2755</v>
      </c>
      <c r="G169" t="s">
        <v>3094</v>
      </c>
      <c r="H169" t="s">
        <v>22</v>
      </c>
      <c r="I169" t="s">
        <v>971</v>
      </c>
    </row>
    <row r="170" spans="1:9" ht="11.25" customHeight="1">
      <c r="A170" s="1767" t="s">
        <v>2416</v>
      </c>
      <c r="B170" s="1767" t="s">
        <v>16</v>
      </c>
      <c r="C170" t="s">
        <v>3095</v>
      </c>
      <c r="D170" t="s">
        <v>3096</v>
      </c>
      <c r="E170" t="s">
        <v>3097</v>
      </c>
      <c r="F170" t="s">
        <v>3081</v>
      </c>
      <c r="G170" t="s">
        <v>3098</v>
      </c>
      <c r="H170" t="s">
        <v>22</v>
      </c>
      <c r="I170" t="s">
        <v>971</v>
      </c>
    </row>
    <row r="171" spans="1:9" ht="11.25" customHeight="1">
      <c r="A171" s="1767" t="s">
        <v>2416</v>
      </c>
      <c r="B171" s="1767" t="s">
        <v>16</v>
      </c>
      <c r="C171" t="s">
        <v>3099</v>
      </c>
      <c r="D171" t="s">
        <v>3100</v>
      </c>
      <c r="E171" t="s">
        <v>3101</v>
      </c>
      <c r="F171" t="s">
        <v>2650</v>
      </c>
      <c r="G171" t="s">
        <v>3102</v>
      </c>
      <c r="H171" t="s">
        <v>22</v>
      </c>
      <c r="I171" t="s">
        <v>971</v>
      </c>
    </row>
    <row r="172" spans="1:9" ht="11.25" customHeight="1">
      <c r="A172" s="1767" t="s">
        <v>2416</v>
      </c>
      <c r="B172" s="1767" t="s">
        <v>16</v>
      </c>
      <c r="C172" t="s">
        <v>3103</v>
      </c>
      <c r="D172" t="s">
        <v>3104</v>
      </c>
      <c r="E172" t="s">
        <v>3105</v>
      </c>
      <c r="F172" t="s">
        <v>2596</v>
      </c>
      <c r="G172" t="s">
        <v>3106</v>
      </c>
      <c r="H172" t="s">
        <v>22</v>
      </c>
      <c r="I172" t="s">
        <v>971</v>
      </c>
    </row>
    <row r="173" spans="1:9" ht="11.25" customHeight="1">
      <c r="A173" s="1767" t="s">
        <v>2416</v>
      </c>
      <c r="B173" s="1767" t="s">
        <v>16</v>
      </c>
      <c r="C173" t="s">
        <v>3107</v>
      </c>
      <c r="D173" t="s">
        <v>3108</v>
      </c>
      <c r="E173" t="s">
        <v>3109</v>
      </c>
      <c r="F173" t="s">
        <v>2423</v>
      </c>
      <c r="G173" t="s">
        <v>3110</v>
      </c>
      <c r="H173" t="s">
        <v>22</v>
      </c>
      <c r="I173" t="s">
        <v>971</v>
      </c>
    </row>
    <row r="174" spans="1:9" ht="11.25" customHeight="1">
      <c r="A174" s="1767" t="s">
        <v>2416</v>
      </c>
      <c r="B174" s="1767" t="s">
        <v>16</v>
      </c>
      <c r="C174" t="s">
        <v>3111</v>
      </c>
      <c r="D174" t="s">
        <v>3112</v>
      </c>
      <c r="E174" t="s">
        <v>3113</v>
      </c>
      <c r="F174" t="s">
        <v>2618</v>
      </c>
      <c r="G174" t="s">
        <v>3114</v>
      </c>
      <c r="H174" t="s">
        <v>22</v>
      </c>
      <c r="I174" t="s">
        <v>971</v>
      </c>
    </row>
    <row r="175" spans="1:9" ht="11.25" customHeight="1">
      <c r="A175" s="1767" t="s">
        <v>2416</v>
      </c>
      <c r="B175" s="1767" t="s">
        <v>16</v>
      </c>
      <c r="C175" t="s">
        <v>3115</v>
      </c>
      <c r="D175" t="s">
        <v>3116</v>
      </c>
      <c r="E175" t="s">
        <v>3117</v>
      </c>
      <c r="F175" t="s">
        <v>2618</v>
      </c>
      <c r="G175" t="s">
        <v>3118</v>
      </c>
      <c r="H175" t="s">
        <v>22</v>
      </c>
      <c r="I175" t="s">
        <v>971</v>
      </c>
    </row>
    <row r="176" spans="1:9" ht="11.25" customHeight="1">
      <c r="A176" s="1767" t="s">
        <v>2416</v>
      </c>
      <c r="B176" s="1767" t="s">
        <v>16</v>
      </c>
      <c r="C176" t="s">
        <v>3119</v>
      </c>
      <c r="D176" t="s">
        <v>3120</v>
      </c>
      <c r="E176" t="s">
        <v>3121</v>
      </c>
      <c r="F176" t="s">
        <v>3081</v>
      </c>
      <c r="G176" t="s">
        <v>3122</v>
      </c>
      <c r="H176" t="s">
        <v>22</v>
      </c>
      <c r="I176" t="s">
        <v>971</v>
      </c>
    </row>
    <row r="177" spans="1:9" ht="11.25" customHeight="1">
      <c r="A177" s="1767" t="s">
        <v>2416</v>
      </c>
      <c r="B177" s="1767" t="s">
        <v>16</v>
      </c>
      <c r="C177" t="s">
        <v>3123</v>
      </c>
      <c r="D177" t="s">
        <v>3124</v>
      </c>
      <c r="E177" t="s">
        <v>3125</v>
      </c>
      <c r="F177" t="s">
        <v>2419</v>
      </c>
      <c r="G177" t="s">
        <v>3126</v>
      </c>
      <c r="H177" t="s">
        <v>22</v>
      </c>
      <c r="I177" t="s">
        <v>971</v>
      </c>
    </row>
    <row r="178" spans="1:9" ht="11.25" customHeight="1">
      <c r="A178" s="1767" t="s">
        <v>2416</v>
      </c>
      <c r="B178" s="1767" t="s">
        <v>16</v>
      </c>
      <c r="C178" t="s">
        <v>3127</v>
      </c>
      <c r="D178" t="s">
        <v>3128</v>
      </c>
      <c r="E178" t="s">
        <v>3129</v>
      </c>
      <c r="F178" t="s">
        <v>3130</v>
      </c>
      <c r="G178" t="s">
        <v>3131</v>
      </c>
      <c r="H178" t="s">
        <v>22</v>
      </c>
      <c r="I178" t="s">
        <v>971</v>
      </c>
    </row>
    <row r="179" spans="1:9" ht="11.25" customHeight="1">
      <c r="A179" s="1767" t="s">
        <v>2416</v>
      </c>
      <c r="B179" s="1767" t="s">
        <v>16</v>
      </c>
      <c r="C179" t="s">
        <v>3132</v>
      </c>
      <c r="D179" t="s">
        <v>3133</v>
      </c>
      <c r="E179" t="s">
        <v>3134</v>
      </c>
      <c r="F179" t="s">
        <v>2691</v>
      </c>
      <c r="G179" t="s">
        <v>2756</v>
      </c>
      <c r="H179" t="s">
        <v>22</v>
      </c>
      <c r="I179" t="s">
        <v>971</v>
      </c>
    </row>
    <row r="180" spans="1:9" ht="11.25" customHeight="1">
      <c r="A180" s="1767" t="s">
        <v>2416</v>
      </c>
      <c r="B180" s="1767" t="s">
        <v>16</v>
      </c>
      <c r="C180" t="s">
        <v>3135</v>
      </c>
      <c r="D180" t="s">
        <v>3136</v>
      </c>
      <c r="E180" t="s">
        <v>3137</v>
      </c>
      <c r="F180" t="s">
        <v>2780</v>
      </c>
      <c r="G180" t="s">
        <v>3138</v>
      </c>
      <c r="H180" t="s">
        <v>22</v>
      </c>
      <c r="I180" t="s">
        <v>971</v>
      </c>
    </row>
    <row r="181" spans="1:9" ht="11.25" customHeight="1">
      <c r="A181" s="1767" t="s">
        <v>2416</v>
      </c>
      <c r="B181" s="1767" t="s">
        <v>16</v>
      </c>
      <c r="C181" t="s">
        <v>3139</v>
      </c>
      <c r="D181" t="s">
        <v>3140</v>
      </c>
      <c r="E181" t="s">
        <v>3141</v>
      </c>
      <c r="F181" t="s">
        <v>2650</v>
      </c>
      <c r="G181" t="s">
        <v>3142</v>
      </c>
      <c r="H181" t="s">
        <v>22</v>
      </c>
      <c r="I181" t="s">
        <v>971</v>
      </c>
    </row>
    <row r="182" spans="1:9" ht="11.25" customHeight="1">
      <c r="A182" s="1767" t="s">
        <v>2416</v>
      </c>
      <c r="B182" s="1767" t="s">
        <v>16</v>
      </c>
      <c r="C182" t="s">
        <v>3143</v>
      </c>
      <c r="D182" t="s">
        <v>3144</v>
      </c>
      <c r="E182" t="s">
        <v>3145</v>
      </c>
      <c r="F182" t="s">
        <v>2780</v>
      </c>
      <c r="G182" t="s">
        <v>3146</v>
      </c>
      <c r="H182" t="s">
        <v>22</v>
      </c>
      <c r="I182" t="s">
        <v>971</v>
      </c>
    </row>
    <row r="183" spans="1:9" ht="11.25" customHeight="1">
      <c r="A183" s="1767" t="s">
        <v>2416</v>
      </c>
      <c r="B183" s="1767" t="s">
        <v>16</v>
      </c>
      <c r="C183" t="s">
        <v>3147</v>
      </c>
      <c r="D183" t="s">
        <v>3148</v>
      </c>
      <c r="E183" t="s">
        <v>3149</v>
      </c>
      <c r="F183" t="s">
        <v>2755</v>
      </c>
      <c r="G183" t="s">
        <v>3150</v>
      </c>
      <c r="H183" t="s">
        <v>22</v>
      </c>
      <c r="I183" t="s">
        <v>971</v>
      </c>
    </row>
    <row r="184" spans="1:9" ht="11.25" customHeight="1">
      <c r="A184" s="1767" t="s">
        <v>2416</v>
      </c>
      <c r="B184" s="1767" t="s">
        <v>16</v>
      </c>
      <c r="C184" t="s">
        <v>3151</v>
      </c>
      <c r="D184" t="s">
        <v>3152</v>
      </c>
      <c r="E184" t="s">
        <v>3153</v>
      </c>
      <c r="F184" t="s">
        <v>2527</v>
      </c>
      <c r="G184" t="s">
        <v>3154</v>
      </c>
      <c r="H184" t="s">
        <v>22</v>
      </c>
      <c r="I184" t="s">
        <v>971</v>
      </c>
    </row>
    <row r="185" spans="1:9" ht="11.25" customHeight="1">
      <c r="A185" s="1767" t="s">
        <v>2416</v>
      </c>
      <c r="B185" s="1767" t="s">
        <v>16</v>
      </c>
      <c r="C185" t="s">
        <v>3155</v>
      </c>
      <c r="D185" t="s">
        <v>3156</v>
      </c>
      <c r="E185" t="s">
        <v>3157</v>
      </c>
      <c r="F185" t="s">
        <v>2419</v>
      </c>
      <c r="G185" t="s">
        <v>3158</v>
      </c>
      <c r="H185" t="s">
        <v>22</v>
      </c>
      <c r="I185" t="s">
        <v>971</v>
      </c>
    </row>
    <row r="186" spans="1:9" ht="11.25" customHeight="1">
      <c r="A186" s="1767" t="s">
        <v>2416</v>
      </c>
      <c r="B186" s="1767" t="s">
        <v>16</v>
      </c>
      <c r="C186" t="s">
        <v>3159</v>
      </c>
      <c r="D186" t="s">
        <v>3160</v>
      </c>
      <c r="E186" t="s">
        <v>3161</v>
      </c>
      <c r="F186" t="s">
        <v>2580</v>
      </c>
      <c r="G186" t="s">
        <v>3162</v>
      </c>
      <c r="H186" t="s">
        <v>22</v>
      </c>
      <c r="I186" t="s">
        <v>971</v>
      </c>
    </row>
    <row r="187" spans="1:9" ht="11.25" customHeight="1">
      <c r="A187" s="1767" t="s">
        <v>2416</v>
      </c>
      <c r="B187" s="1767" t="s">
        <v>16</v>
      </c>
      <c r="C187" t="s">
        <v>3163</v>
      </c>
      <c r="D187" t="s">
        <v>3164</v>
      </c>
      <c r="E187" t="s">
        <v>3165</v>
      </c>
      <c r="F187" t="s">
        <v>2419</v>
      </c>
      <c r="G187" t="s">
        <v>3166</v>
      </c>
      <c r="H187" t="s">
        <v>22</v>
      </c>
      <c r="I187" t="s">
        <v>971</v>
      </c>
    </row>
    <row r="188" spans="1:9" ht="11.25" customHeight="1">
      <c r="A188" s="1767" t="s">
        <v>2416</v>
      </c>
      <c r="B188" s="1767" t="s">
        <v>16</v>
      </c>
      <c r="C188" t="s">
        <v>3167</v>
      </c>
      <c r="D188" t="s">
        <v>3168</v>
      </c>
      <c r="E188" t="s">
        <v>3169</v>
      </c>
      <c r="F188" t="s">
        <v>2519</v>
      </c>
      <c r="G188" t="s">
        <v>3170</v>
      </c>
      <c r="H188" t="s">
        <v>22</v>
      </c>
      <c r="I188" t="s">
        <v>971</v>
      </c>
    </row>
    <row r="189" spans="1:9" ht="11.25" customHeight="1">
      <c r="A189" s="1767" t="s">
        <v>2416</v>
      </c>
      <c r="B189" s="1767" t="s">
        <v>16</v>
      </c>
      <c r="C189" t="s">
        <v>3171</v>
      </c>
      <c r="D189" t="s">
        <v>3172</v>
      </c>
      <c r="E189" t="s">
        <v>3173</v>
      </c>
      <c r="F189" t="s">
        <v>3174</v>
      </c>
      <c r="G189" t="s">
        <v>3175</v>
      </c>
      <c r="H189" t="s">
        <v>22</v>
      </c>
      <c r="I189" t="s">
        <v>971</v>
      </c>
    </row>
    <row r="190" spans="1:9" ht="11.25" customHeight="1">
      <c r="A190" s="1767" t="s">
        <v>2416</v>
      </c>
      <c r="B190" s="1767" t="s">
        <v>16</v>
      </c>
      <c r="C190" t="s">
        <v>3176</v>
      </c>
      <c r="D190" t="s">
        <v>3177</v>
      </c>
      <c r="E190" t="s">
        <v>3178</v>
      </c>
      <c r="F190" t="s">
        <v>2419</v>
      </c>
      <c r="G190" t="s">
        <v>22</v>
      </c>
      <c r="H190" t="s">
        <v>22</v>
      </c>
      <c r="I190" t="s">
        <v>971</v>
      </c>
    </row>
    <row r="191" spans="1:9" ht="11.25" customHeight="1">
      <c r="A191" s="1767" t="s">
        <v>2416</v>
      </c>
      <c r="B191" s="1767" t="s">
        <v>16</v>
      </c>
      <c r="C191" t="s">
        <v>3179</v>
      </c>
      <c r="D191" t="s">
        <v>3180</v>
      </c>
      <c r="E191" t="s">
        <v>3181</v>
      </c>
      <c r="F191" t="s">
        <v>2679</v>
      </c>
      <c r="G191" t="s">
        <v>3114</v>
      </c>
      <c r="H191" t="s">
        <v>22</v>
      </c>
      <c r="I191" t="s">
        <v>971</v>
      </c>
    </row>
    <row r="192" spans="1:9" ht="11.25" customHeight="1">
      <c r="A192" s="1767" t="s">
        <v>2416</v>
      </c>
      <c r="B192" s="1767" t="s">
        <v>16</v>
      </c>
      <c r="C192" t="s">
        <v>3182</v>
      </c>
      <c r="D192" t="s">
        <v>3183</v>
      </c>
      <c r="E192" t="s">
        <v>3184</v>
      </c>
      <c r="F192" t="s">
        <v>2519</v>
      </c>
      <c r="G192" t="s">
        <v>3185</v>
      </c>
      <c r="H192" t="s">
        <v>22</v>
      </c>
      <c r="I192" t="s">
        <v>971</v>
      </c>
    </row>
    <row r="193" spans="1:9" ht="11.25" customHeight="1">
      <c r="A193" s="1767" t="s">
        <v>2416</v>
      </c>
      <c r="B193" s="1767" t="s">
        <v>16</v>
      </c>
      <c r="C193" t="s">
        <v>3186</v>
      </c>
      <c r="D193" t="s">
        <v>3187</v>
      </c>
      <c r="E193" t="s">
        <v>3188</v>
      </c>
      <c r="F193" t="s">
        <v>2471</v>
      </c>
      <c r="G193" t="s">
        <v>3189</v>
      </c>
      <c r="H193" t="s">
        <v>22</v>
      </c>
      <c r="I193" t="s">
        <v>971</v>
      </c>
    </row>
    <row r="194" spans="1:9" ht="11.25" customHeight="1">
      <c r="A194" s="1767" t="s">
        <v>2416</v>
      </c>
      <c r="B194" s="1767" t="s">
        <v>16</v>
      </c>
      <c r="C194" t="s">
        <v>3190</v>
      </c>
      <c r="D194" t="s">
        <v>3191</v>
      </c>
      <c r="E194" t="s">
        <v>3192</v>
      </c>
      <c r="F194" t="s">
        <v>2691</v>
      </c>
      <c r="G194" t="s">
        <v>3193</v>
      </c>
      <c r="H194" t="s">
        <v>22</v>
      </c>
      <c r="I194" t="s">
        <v>971</v>
      </c>
    </row>
    <row r="195" spans="1:9" ht="11.25" customHeight="1">
      <c r="A195" s="1767" t="s">
        <v>2416</v>
      </c>
      <c r="B195" s="1767" t="s">
        <v>16</v>
      </c>
      <c r="C195" t="s">
        <v>3194</v>
      </c>
      <c r="D195" t="s">
        <v>3195</v>
      </c>
      <c r="E195" t="s">
        <v>3196</v>
      </c>
      <c r="F195" t="s">
        <v>2419</v>
      </c>
      <c r="G195" t="s">
        <v>3197</v>
      </c>
      <c r="H195" t="s">
        <v>22</v>
      </c>
      <c r="I195" t="s">
        <v>971</v>
      </c>
    </row>
    <row r="196" spans="1:9" ht="11.25" customHeight="1">
      <c r="A196" s="1767" t="s">
        <v>2416</v>
      </c>
      <c r="B196" s="1767" t="s">
        <v>16</v>
      </c>
      <c r="C196" t="s">
        <v>3198</v>
      </c>
      <c r="D196" t="s">
        <v>3199</v>
      </c>
      <c r="E196" t="s">
        <v>3200</v>
      </c>
      <c r="F196" t="s">
        <v>2419</v>
      </c>
      <c r="G196" t="s">
        <v>3201</v>
      </c>
      <c r="H196" t="s">
        <v>22</v>
      </c>
      <c r="I196" t="s">
        <v>971</v>
      </c>
    </row>
    <row r="197" spans="1:9" ht="11.25" customHeight="1">
      <c r="A197" s="1767" t="s">
        <v>2416</v>
      </c>
      <c r="B197" s="1767" t="s">
        <v>16</v>
      </c>
      <c r="C197" t="s">
        <v>3202</v>
      </c>
      <c r="D197" t="s">
        <v>3203</v>
      </c>
      <c r="E197" t="s">
        <v>3204</v>
      </c>
      <c r="F197" t="s">
        <v>2423</v>
      </c>
      <c r="G197" t="s">
        <v>3205</v>
      </c>
      <c r="H197" t="s">
        <v>22</v>
      </c>
      <c r="I197" t="s">
        <v>971</v>
      </c>
    </row>
    <row r="198" spans="1:9" ht="11.25" customHeight="1">
      <c r="A198" s="1767" t="s">
        <v>2416</v>
      </c>
      <c r="B198" s="1767" t="s">
        <v>16</v>
      </c>
      <c r="C198" t="s">
        <v>3206</v>
      </c>
      <c r="D198" t="s">
        <v>3207</v>
      </c>
      <c r="E198" t="s">
        <v>3208</v>
      </c>
      <c r="F198" t="s">
        <v>2419</v>
      </c>
      <c r="G198" t="s">
        <v>3209</v>
      </c>
      <c r="H198" t="s">
        <v>22</v>
      </c>
      <c r="I198" t="s">
        <v>971</v>
      </c>
    </row>
    <row r="199" spans="1:9" ht="11.25" customHeight="1">
      <c r="A199" s="1767" t="s">
        <v>2416</v>
      </c>
      <c r="B199" s="1767" t="s">
        <v>16</v>
      </c>
      <c r="C199" t="s">
        <v>3210</v>
      </c>
      <c r="D199" t="s">
        <v>3211</v>
      </c>
      <c r="E199" t="s">
        <v>3212</v>
      </c>
      <c r="F199" t="s">
        <v>2650</v>
      </c>
      <c r="G199" t="s">
        <v>3213</v>
      </c>
      <c r="H199" t="s">
        <v>3214</v>
      </c>
      <c r="I199" t="s">
        <v>971</v>
      </c>
    </row>
    <row r="200" spans="1:9" ht="11.25" customHeight="1">
      <c r="A200" s="1767" t="s">
        <v>2416</v>
      </c>
      <c r="B200" s="1767" t="s">
        <v>16</v>
      </c>
      <c r="C200" t="s">
        <v>3215</v>
      </c>
      <c r="D200" t="s">
        <v>3216</v>
      </c>
      <c r="E200" t="s">
        <v>2461</v>
      </c>
      <c r="F200" t="s">
        <v>3217</v>
      </c>
      <c r="G200" t="s">
        <v>3218</v>
      </c>
      <c r="H200" t="s">
        <v>22</v>
      </c>
      <c r="I200" t="s">
        <v>971</v>
      </c>
    </row>
    <row r="201" spans="1:9" ht="11.25" customHeight="1">
      <c r="A201" s="1767" t="s">
        <v>2416</v>
      </c>
      <c r="B201" s="1767" t="s">
        <v>16</v>
      </c>
      <c r="C201" t="s">
        <v>3219</v>
      </c>
      <c r="D201" t="s">
        <v>3220</v>
      </c>
      <c r="E201" t="s">
        <v>3221</v>
      </c>
      <c r="F201" t="s">
        <v>2584</v>
      </c>
      <c r="G201" t="s">
        <v>3222</v>
      </c>
      <c r="H201" t="s">
        <v>22</v>
      </c>
      <c r="I201" t="s">
        <v>971</v>
      </c>
    </row>
    <row r="202" spans="1:9" ht="11.25" customHeight="1">
      <c r="A202" s="1767" t="s">
        <v>2416</v>
      </c>
      <c r="B202" s="1767" t="s">
        <v>16</v>
      </c>
      <c r="C202" t="s">
        <v>3223</v>
      </c>
      <c r="D202" t="s">
        <v>46</v>
      </c>
      <c r="E202" t="s">
        <v>49</v>
      </c>
      <c r="F202" t="s">
        <v>3224</v>
      </c>
      <c r="G202" t="s">
        <v>3225</v>
      </c>
      <c r="H202" t="s">
        <v>22</v>
      </c>
      <c r="I202" t="s">
        <v>971</v>
      </c>
    </row>
    <row r="203" spans="1:9" ht="11.25" customHeight="1">
      <c r="A203" s="1767" t="s">
        <v>2416</v>
      </c>
      <c r="B203" s="1767" t="s">
        <v>16</v>
      </c>
      <c r="C203" t="s">
        <v>13</v>
      </c>
      <c r="D203" t="s">
        <v>46</v>
      </c>
      <c r="E203" t="s">
        <v>49</v>
      </c>
      <c r="F203" t="s">
        <v>51</v>
      </c>
      <c r="G203" t="s">
        <v>22</v>
      </c>
      <c r="H203" t="s">
        <v>22</v>
      </c>
      <c r="I203" t="s">
        <v>971</v>
      </c>
    </row>
    <row r="204" spans="1:9" ht="11.25" customHeight="1">
      <c r="A204" s="1767" t="s">
        <v>2416</v>
      </c>
      <c r="B204" s="1767" t="s">
        <v>16</v>
      </c>
      <c r="C204" t="s">
        <v>3226</v>
      </c>
      <c r="D204" t="s">
        <v>3227</v>
      </c>
      <c r="E204" t="s">
        <v>3228</v>
      </c>
      <c r="F204" t="s">
        <v>3229</v>
      </c>
      <c r="G204" t="s">
        <v>3230</v>
      </c>
      <c r="H204" t="s">
        <v>22</v>
      </c>
      <c r="I204" t="s">
        <v>971</v>
      </c>
    </row>
    <row r="205" spans="1:9" ht="11.25" customHeight="1">
      <c r="A205" s="1767" t="s">
        <v>2416</v>
      </c>
      <c r="B205" s="1767" t="s">
        <v>16</v>
      </c>
      <c r="C205" t="s">
        <v>3231</v>
      </c>
      <c r="D205" t="s">
        <v>3232</v>
      </c>
      <c r="E205" t="s">
        <v>3233</v>
      </c>
      <c r="F205" t="s">
        <v>2609</v>
      </c>
      <c r="G205" t="s">
        <v>3234</v>
      </c>
      <c r="H205" t="s">
        <v>22</v>
      </c>
      <c r="I205" t="s">
        <v>971</v>
      </c>
    </row>
    <row r="206" spans="1:9" ht="11.25" customHeight="1">
      <c r="A206" s="1767" t="s">
        <v>2416</v>
      </c>
      <c r="B206" s="1767" t="s">
        <v>16</v>
      </c>
      <c r="C206" t="s">
        <v>3235</v>
      </c>
      <c r="D206" t="s">
        <v>3236</v>
      </c>
      <c r="E206" t="s">
        <v>3237</v>
      </c>
      <c r="F206" t="s">
        <v>2519</v>
      </c>
      <c r="G206" t="s">
        <v>3238</v>
      </c>
      <c r="H206" t="s">
        <v>22</v>
      </c>
      <c r="I206" t="s">
        <v>971</v>
      </c>
    </row>
    <row r="207" spans="1:9" ht="11.25" customHeight="1">
      <c r="A207" s="1767" t="s">
        <v>2416</v>
      </c>
      <c r="B207" s="1767" t="s">
        <v>16</v>
      </c>
      <c r="C207" t="s">
        <v>3239</v>
      </c>
      <c r="D207" t="s">
        <v>3240</v>
      </c>
      <c r="E207" t="s">
        <v>2441</v>
      </c>
      <c r="F207" t="s">
        <v>3241</v>
      </c>
      <c r="G207" t="s">
        <v>2442</v>
      </c>
      <c r="H207" t="s">
        <v>22</v>
      </c>
      <c r="I207" t="s">
        <v>971</v>
      </c>
    </row>
    <row r="208" spans="1:9" ht="11.25" customHeight="1">
      <c r="A208" s="1767" t="s">
        <v>2416</v>
      </c>
      <c r="B208" s="1767" t="s">
        <v>16</v>
      </c>
      <c r="C208" t="s">
        <v>3242</v>
      </c>
      <c r="D208" t="s">
        <v>3243</v>
      </c>
      <c r="E208" t="s">
        <v>3244</v>
      </c>
      <c r="F208" t="s">
        <v>3241</v>
      </c>
      <c r="G208" t="s">
        <v>3245</v>
      </c>
      <c r="H208" t="s">
        <v>22</v>
      </c>
      <c r="I208" t="s">
        <v>971</v>
      </c>
    </row>
    <row r="209" spans="1:9" ht="11.25" customHeight="1">
      <c r="A209" s="1767" t="s">
        <v>2416</v>
      </c>
      <c r="B209" s="1767" t="s">
        <v>16</v>
      </c>
      <c r="C209" t="s">
        <v>3246</v>
      </c>
      <c r="D209" t="s">
        <v>3247</v>
      </c>
      <c r="E209" t="s">
        <v>3248</v>
      </c>
      <c r="F209" t="s">
        <v>2490</v>
      </c>
      <c r="G209" t="s">
        <v>3249</v>
      </c>
      <c r="H209" t="s">
        <v>22</v>
      </c>
      <c r="I209" t="s">
        <v>971</v>
      </c>
    </row>
    <row r="210" spans="1:9" ht="11.25" customHeight="1">
      <c r="A210" s="1767" t="s">
        <v>2416</v>
      </c>
      <c r="B210" s="1767" t="s">
        <v>16</v>
      </c>
      <c r="C210" t="s">
        <v>3250</v>
      </c>
      <c r="D210" t="s">
        <v>3251</v>
      </c>
      <c r="E210" t="s">
        <v>3252</v>
      </c>
      <c r="F210" t="s">
        <v>2490</v>
      </c>
      <c r="G210" t="s">
        <v>2881</v>
      </c>
      <c r="H210" t="s">
        <v>22</v>
      </c>
      <c r="I210" t="s">
        <v>971</v>
      </c>
    </row>
    <row r="211" spans="1:9" ht="11.25" customHeight="1">
      <c r="A211" s="1767" t="s">
        <v>2416</v>
      </c>
      <c r="B211" s="1767" t="s">
        <v>16</v>
      </c>
      <c r="C211" t="s">
        <v>3253</v>
      </c>
      <c r="D211" t="s">
        <v>3254</v>
      </c>
      <c r="E211" t="s">
        <v>3255</v>
      </c>
      <c r="F211" t="s">
        <v>2423</v>
      </c>
      <c r="G211" t="s">
        <v>3193</v>
      </c>
      <c r="H211" t="s">
        <v>22</v>
      </c>
      <c r="I211" t="s">
        <v>971</v>
      </c>
    </row>
    <row r="212" spans="1:9" ht="11.25" customHeight="1">
      <c r="A212" s="1767" t="s">
        <v>2416</v>
      </c>
      <c r="B212" s="1767" t="s">
        <v>16</v>
      </c>
      <c r="C212" t="s">
        <v>3256</v>
      </c>
      <c r="D212" t="s">
        <v>3257</v>
      </c>
      <c r="E212" t="s">
        <v>3258</v>
      </c>
      <c r="F212" t="s">
        <v>3174</v>
      </c>
      <c r="G212" t="s">
        <v>3259</v>
      </c>
      <c r="H212" t="s">
        <v>22</v>
      </c>
      <c r="I212" t="s">
        <v>971</v>
      </c>
    </row>
    <row r="213" spans="1:9" ht="11.25" customHeight="1">
      <c r="A213" s="1767" t="s">
        <v>2416</v>
      </c>
      <c r="B213" s="1767" t="s">
        <v>16</v>
      </c>
      <c r="C213" t="s">
        <v>3260</v>
      </c>
      <c r="D213" t="s">
        <v>3261</v>
      </c>
      <c r="E213" t="s">
        <v>2506</v>
      </c>
      <c r="F213" t="s">
        <v>3262</v>
      </c>
      <c r="G213" t="s">
        <v>22</v>
      </c>
      <c r="H213" t="s">
        <v>22</v>
      </c>
      <c r="I213" t="s">
        <v>971</v>
      </c>
    </row>
    <row r="214" spans="1:9" ht="11.25" customHeight="1">
      <c r="A214" s="1767" t="s">
        <v>2416</v>
      </c>
      <c r="B214" s="1767" t="s">
        <v>16</v>
      </c>
      <c r="C214" t="s">
        <v>3263</v>
      </c>
      <c r="D214" t="s">
        <v>3264</v>
      </c>
      <c r="E214" t="s">
        <v>3265</v>
      </c>
      <c r="F214" t="s">
        <v>3266</v>
      </c>
      <c r="G214" t="s">
        <v>3267</v>
      </c>
      <c r="H214" t="s">
        <v>22</v>
      </c>
      <c r="I214" t="s">
        <v>971</v>
      </c>
    </row>
    <row r="215" spans="1:9" ht="11.25" customHeight="1">
      <c r="A215" s="1767" t="s">
        <v>2416</v>
      </c>
      <c r="B215" s="1767" t="s">
        <v>16</v>
      </c>
      <c r="C215" t="s">
        <v>3268</v>
      </c>
      <c r="D215" t="s">
        <v>3269</v>
      </c>
      <c r="E215" t="s">
        <v>3265</v>
      </c>
      <c r="F215" t="s">
        <v>2580</v>
      </c>
      <c r="G215" t="s">
        <v>3270</v>
      </c>
      <c r="H215" t="s">
        <v>22</v>
      </c>
      <c r="I215" t="s">
        <v>971</v>
      </c>
    </row>
    <row r="216" spans="1:9" ht="11.25" customHeight="1">
      <c r="A216" s="1767" t="s">
        <v>2416</v>
      </c>
      <c r="B216" s="1767" t="s">
        <v>16</v>
      </c>
      <c r="C216" t="s">
        <v>3271</v>
      </c>
      <c r="D216" t="s">
        <v>3272</v>
      </c>
      <c r="E216" t="s">
        <v>3273</v>
      </c>
      <c r="F216" t="s">
        <v>2780</v>
      </c>
      <c r="G216" t="s">
        <v>3274</v>
      </c>
      <c r="H216" t="s">
        <v>22</v>
      </c>
      <c r="I216" t="s">
        <v>971</v>
      </c>
    </row>
    <row r="217" spans="1:9" ht="11.25" customHeight="1">
      <c r="A217" s="1767" t="s">
        <v>2416</v>
      </c>
      <c r="B217" s="1767" t="s">
        <v>16</v>
      </c>
      <c r="C217" t="s">
        <v>3275</v>
      </c>
      <c r="D217" t="s">
        <v>3276</v>
      </c>
      <c r="E217" t="s">
        <v>2441</v>
      </c>
      <c r="F217" t="s">
        <v>3277</v>
      </c>
      <c r="G217" t="s">
        <v>22</v>
      </c>
      <c r="H217" t="s">
        <v>22</v>
      </c>
      <c r="I217" t="s">
        <v>971</v>
      </c>
    </row>
    <row r="218" spans="1:9" ht="11.25" customHeight="1">
      <c r="A218" s="1767" t="s">
        <v>2416</v>
      </c>
      <c r="B218" s="1767" t="s">
        <v>16</v>
      </c>
      <c r="C218" t="s">
        <v>3278</v>
      </c>
      <c r="D218" t="s">
        <v>3279</v>
      </c>
      <c r="E218" t="s">
        <v>3280</v>
      </c>
      <c r="F218" t="s">
        <v>2471</v>
      </c>
      <c r="G218" t="s">
        <v>3281</v>
      </c>
      <c r="H218" t="s">
        <v>22</v>
      </c>
      <c r="I218" t="s">
        <v>971</v>
      </c>
    </row>
    <row r="219" spans="1:9" ht="11.25" customHeight="1">
      <c r="A219" s="1767" t="s">
        <v>2416</v>
      </c>
      <c r="B219" s="1767" t="s">
        <v>16</v>
      </c>
      <c r="C219" t="s">
        <v>3282</v>
      </c>
      <c r="D219" t="s">
        <v>3283</v>
      </c>
      <c r="E219" t="s">
        <v>3284</v>
      </c>
      <c r="F219" t="s">
        <v>3285</v>
      </c>
      <c r="G219" t="s">
        <v>3286</v>
      </c>
      <c r="H219" t="s">
        <v>22</v>
      </c>
      <c r="I219" t="s">
        <v>971</v>
      </c>
    </row>
    <row r="220" spans="1:9" ht="11.25" customHeight="1">
      <c r="A220" s="1767" t="s">
        <v>2416</v>
      </c>
      <c r="B220" s="1767" t="s">
        <v>16</v>
      </c>
      <c r="C220" t="s">
        <v>3287</v>
      </c>
      <c r="D220" t="s">
        <v>3288</v>
      </c>
      <c r="E220" t="s">
        <v>3289</v>
      </c>
      <c r="F220" t="s">
        <v>2614</v>
      </c>
      <c r="G220" t="s">
        <v>3290</v>
      </c>
      <c r="H220" t="s">
        <v>22</v>
      </c>
      <c r="I220" t="s">
        <v>971</v>
      </c>
    </row>
    <row r="221" spans="1:9" ht="11.25" customHeight="1">
      <c r="A221" s="1767" t="s">
        <v>2416</v>
      </c>
      <c r="B221" s="1767" t="s">
        <v>16</v>
      </c>
      <c r="C221" t="s">
        <v>3291</v>
      </c>
      <c r="D221" t="s">
        <v>3292</v>
      </c>
      <c r="E221" t="s">
        <v>3244</v>
      </c>
      <c r="F221" t="s">
        <v>3293</v>
      </c>
      <c r="G221" t="s">
        <v>22</v>
      </c>
      <c r="H221" t="s">
        <v>22</v>
      </c>
      <c r="I221" t="s">
        <v>971</v>
      </c>
    </row>
    <row r="222" spans="1:9" ht="11.25" customHeight="1">
      <c r="A222" s="1767" t="s">
        <v>2416</v>
      </c>
      <c r="B222" s="1767" t="s">
        <v>16</v>
      </c>
      <c r="C222" t="s">
        <v>3294</v>
      </c>
      <c r="D222" t="s">
        <v>3295</v>
      </c>
      <c r="E222" t="s">
        <v>3296</v>
      </c>
      <c r="F222" t="s">
        <v>2419</v>
      </c>
      <c r="G222" t="s">
        <v>3297</v>
      </c>
      <c r="H222" t="s">
        <v>22</v>
      </c>
      <c r="I222" t="s">
        <v>971</v>
      </c>
    </row>
    <row r="223" spans="1:9" ht="11.25" customHeight="1">
      <c r="A223" s="1767" t="s">
        <v>2416</v>
      </c>
      <c r="B223" s="1767" t="s">
        <v>16</v>
      </c>
      <c r="C223" t="s">
        <v>3298</v>
      </c>
      <c r="D223" t="s">
        <v>3299</v>
      </c>
      <c r="E223" t="s">
        <v>3300</v>
      </c>
      <c r="F223" t="s">
        <v>2519</v>
      </c>
      <c r="G223" t="s">
        <v>3234</v>
      </c>
      <c r="H223" t="s">
        <v>22</v>
      </c>
      <c r="I223" t="s">
        <v>971</v>
      </c>
    </row>
    <row r="224" spans="1:9" ht="11.25" customHeight="1">
      <c r="A224" s="1767" t="s">
        <v>2416</v>
      </c>
      <c r="B224" s="1767" t="s">
        <v>16</v>
      </c>
      <c r="C224" t="s">
        <v>3301</v>
      </c>
      <c r="D224" t="s">
        <v>3302</v>
      </c>
      <c r="E224" t="s">
        <v>3303</v>
      </c>
      <c r="F224" t="s">
        <v>2481</v>
      </c>
      <c r="G224" t="s">
        <v>3304</v>
      </c>
      <c r="H224" t="s">
        <v>22</v>
      </c>
      <c r="I224" t="s">
        <v>971</v>
      </c>
    </row>
    <row r="225" spans="1:9" ht="11.25" customHeight="1">
      <c r="A225" s="1767" t="s">
        <v>2416</v>
      </c>
      <c r="B225" s="1767" t="s">
        <v>16</v>
      </c>
      <c r="C225" t="s">
        <v>3305</v>
      </c>
      <c r="D225" t="s">
        <v>3306</v>
      </c>
      <c r="E225" t="s">
        <v>3307</v>
      </c>
      <c r="F225" t="s">
        <v>2609</v>
      </c>
      <c r="G225" t="s">
        <v>2536</v>
      </c>
      <c r="H225" t="s">
        <v>22</v>
      </c>
      <c r="I225" t="s">
        <v>971</v>
      </c>
    </row>
    <row r="226" spans="1:9" ht="11.25" customHeight="1">
      <c r="A226" s="1767" t="s">
        <v>2416</v>
      </c>
      <c r="B226" s="1767" t="s">
        <v>16</v>
      </c>
      <c r="C226" t="s">
        <v>3308</v>
      </c>
      <c r="D226" t="s">
        <v>3309</v>
      </c>
      <c r="E226" t="s">
        <v>3310</v>
      </c>
      <c r="F226" t="s">
        <v>2618</v>
      </c>
      <c r="G226" t="s">
        <v>3311</v>
      </c>
      <c r="H226" t="s">
        <v>22</v>
      </c>
      <c r="I226" t="s">
        <v>971</v>
      </c>
    </row>
    <row r="227" spans="1:9" ht="11.25" customHeight="1">
      <c r="A227" s="1767" t="s">
        <v>2416</v>
      </c>
      <c r="B227" s="1767" t="s">
        <v>16</v>
      </c>
      <c r="C227" t="s">
        <v>3312</v>
      </c>
      <c r="D227" t="s">
        <v>3313</v>
      </c>
      <c r="E227" t="s">
        <v>3314</v>
      </c>
      <c r="F227" t="s">
        <v>2614</v>
      </c>
      <c r="G227" t="s">
        <v>3315</v>
      </c>
      <c r="H227" t="s">
        <v>3316</v>
      </c>
      <c r="I227" t="s">
        <v>971</v>
      </c>
    </row>
    <row r="228" spans="1:9" ht="11.25" customHeight="1">
      <c r="A228" s="1767" t="s">
        <v>2416</v>
      </c>
      <c r="B228" s="1767" t="s">
        <v>16</v>
      </c>
      <c r="C228" t="s">
        <v>3317</v>
      </c>
      <c r="D228" t="s">
        <v>3318</v>
      </c>
      <c r="E228" t="s">
        <v>3319</v>
      </c>
      <c r="F228" t="s">
        <v>2618</v>
      </c>
      <c r="G228" t="s">
        <v>3320</v>
      </c>
      <c r="H228" t="s">
        <v>22</v>
      </c>
      <c r="I228" t="s">
        <v>971</v>
      </c>
    </row>
    <row r="229" spans="1:9" ht="11.25" customHeight="1">
      <c r="A229" s="1767" t="s">
        <v>2416</v>
      </c>
      <c r="B229" s="1767" t="s">
        <v>16</v>
      </c>
      <c r="C229" t="s">
        <v>3321</v>
      </c>
      <c r="D229" t="s">
        <v>3322</v>
      </c>
      <c r="E229" t="s">
        <v>3323</v>
      </c>
      <c r="F229" t="s">
        <v>2471</v>
      </c>
      <c r="G229" t="s">
        <v>3324</v>
      </c>
      <c r="H229" t="s">
        <v>22</v>
      </c>
      <c r="I229" t="s">
        <v>971</v>
      </c>
    </row>
    <row r="230" spans="1:9" ht="11.25" customHeight="1">
      <c r="A230" s="1767" t="s">
        <v>2416</v>
      </c>
      <c r="B230" s="1767" t="s">
        <v>16</v>
      </c>
      <c r="C230" t="s">
        <v>3325</v>
      </c>
      <c r="D230" t="s">
        <v>3326</v>
      </c>
      <c r="E230" t="s">
        <v>3327</v>
      </c>
      <c r="F230" t="s">
        <v>2679</v>
      </c>
      <c r="G230" t="s">
        <v>3328</v>
      </c>
      <c r="H230" t="s">
        <v>22</v>
      </c>
      <c r="I230" t="s">
        <v>971</v>
      </c>
    </row>
    <row r="231" spans="1:9" ht="11.25" customHeight="1">
      <c r="A231" s="1767" t="s">
        <v>2416</v>
      </c>
      <c r="B231" s="1767" t="s">
        <v>16</v>
      </c>
      <c r="C231" t="s">
        <v>3329</v>
      </c>
      <c r="D231" t="s">
        <v>3330</v>
      </c>
      <c r="E231" t="s">
        <v>3331</v>
      </c>
      <c r="F231" t="s">
        <v>2419</v>
      </c>
      <c r="G231" t="s">
        <v>2446</v>
      </c>
      <c r="H231" t="s">
        <v>22</v>
      </c>
      <c r="I231" t="s">
        <v>971</v>
      </c>
    </row>
    <row r="232" spans="1:9" ht="11.25" customHeight="1">
      <c r="A232" s="1767" t="s">
        <v>2416</v>
      </c>
      <c r="B232" s="1767" t="s">
        <v>16</v>
      </c>
      <c r="C232" t="s">
        <v>3332</v>
      </c>
      <c r="D232" t="s">
        <v>3333</v>
      </c>
      <c r="E232" t="s">
        <v>3334</v>
      </c>
      <c r="F232" t="s">
        <v>2419</v>
      </c>
      <c r="G232" t="s">
        <v>3335</v>
      </c>
      <c r="H232" t="s">
        <v>22</v>
      </c>
      <c r="I232" t="s">
        <v>971</v>
      </c>
    </row>
    <row r="233" spans="1:9" ht="11.25" customHeight="1">
      <c r="A233" s="1767" t="s">
        <v>2416</v>
      </c>
      <c r="B233" s="1767" t="s">
        <v>16</v>
      </c>
      <c r="C233" t="s">
        <v>22</v>
      </c>
      <c r="D233" t="s">
        <v>2417</v>
      </c>
      <c r="E233" t="s">
        <v>2418</v>
      </c>
      <c r="F233" t="s">
        <v>2419</v>
      </c>
      <c r="G233" t="s">
        <v>22</v>
      </c>
      <c r="H233" t="s">
        <v>22</v>
      </c>
      <c r="I233" t="s">
        <v>1058</v>
      </c>
    </row>
    <row r="234" spans="1:9" ht="11.25" customHeight="1">
      <c r="A234" s="1767" t="s">
        <v>2416</v>
      </c>
      <c r="B234" s="1767" t="s">
        <v>16</v>
      </c>
      <c r="C234" t="s">
        <v>2439</v>
      </c>
      <c r="D234" t="s">
        <v>2440</v>
      </c>
      <c r="E234" t="s">
        <v>2441</v>
      </c>
      <c r="F234" t="s">
        <v>2419</v>
      </c>
      <c r="G234" t="s">
        <v>2442</v>
      </c>
      <c r="H234" t="s">
        <v>22</v>
      </c>
      <c r="I234" t="s">
        <v>1058</v>
      </c>
    </row>
    <row r="235" spans="1:9" ht="11.25" customHeight="1">
      <c r="A235" s="1767" t="s">
        <v>2416</v>
      </c>
      <c r="B235" s="1767" t="s">
        <v>16</v>
      </c>
      <c r="C235" t="s">
        <v>2452</v>
      </c>
      <c r="D235" t="s">
        <v>2453</v>
      </c>
      <c r="E235" t="s">
        <v>2454</v>
      </c>
      <c r="F235" t="s">
        <v>2455</v>
      </c>
      <c r="G235" t="s">
        <v>2456</v>
      </c>
      <c r="H235" t="s">
        <v>22</v>
      </c>
      <c r="I235" t="s">
        <v>1058</v>
      </c>
    </row>
    <row r="236" spans="1:9" ht="11.25" customHeight="1">
      <c r="A236" s="1767" t="s">
        <v>2416</v>
      </c>
      <c r="B236" s="1767" t="s">
        <v>16</v>
      </c>
      <c r="C236" t="s">
        <v>2459</v>
      </c>
      <c r="D236" t="s">
        <v>2460</v>
      </c>
      <c r="E236" t="s">
        <v>2461</v>
      </c>
      <c r="F236" t="s">
        <v>2462</v>
      </c>
      <c r="G236" t="s">
        <v>22</v>
      </c>
      <c r="H236" t="s">
        <v>22</v>
      </c>
      <c r="I236" t="s">
        <v>1058</v>
      </c>
    </row>
    <row r="237" spans="1:9" ht="11.25" customHeight="1">
      <c r="A237" s="1767" t="s">
        <v>2416</v>
      </c>
      <c r="B237" s="1767" t="s">
        <v>16</v>
      </c>
      <c r="C237" t="s">
        <v>2492</v>
      </c>
      <c r="D237" t="s">
        <v>2493</v>
      </c>
      <c r="E237" t="s">
        <v>2494</v>
      </c>
      <c r="F237" t="s">
        <v>2437</v>
      </c>
      <c r="G237" t="s">
        <v>2495</v>
      </c>
      <c r="H237" t="s">
        <v>22</v>
      </c>
      <c r="I237" t="s">
        <v>1058</v>
      </c>
    </row>
    <row r="238" spans="1:9" ht="11.25" customHeight="1">
      <c r="A238" s="1767" t="s">
        <v>2416</v>
      </c>
      <c r="B238" s="1767" t="s">
        <v>16</v>
      </c>
      <c r="C238" t="s">
        <v>2582</v>
      </c>
      <c r="D238" t="s">
        <v>2583</v>
      </c>
      <c r="E238" t="s">
        <v>2441</v>
      </c>
      <c r="F238" t="s">
        <v>2584</v>
      </c>
      <c r="G238" t="s">
        <v>2442</v>
      </c>
      <c r="H238" t="s">
        <v>22</v>
      </c>
      <c r="I238" t="s">
        <v>1058</v>
      </c>
    </row>
    <row r="239" spans="1:9" ht="11.25" customHeight="1">
      <c r="A239" s="1767" t="s">
        <v>2416</v>
      </c>
      <c r="B239" s="1767" t="s">
        <v>16</v>
      </c>
      <c r="C239" t="s">
        <v>2656</v>
      </c>
      <c r="D239" t="s">
        <v>2657</v>
      </c>
      <c r="E239" t="s">
        <v>2658</v>
      </c>
      <c r="F239" t="s">
        <v>2659</v>
      </c>
      <c r="G239" t="s">
        <v>2544</v>
      </c>
      <c r="H239" t="s">
        <v>22</v>
      </c>
      <c r="I239" t="s">
        <v>1058</v>
      </c>
    </row>
    <row r="240" spans="1:9" ht="11.25" customHeight="1">
      <c r="A240" s="1767" t="s">
        <v>2416</v>
      </c>
      <c r="B240" s="1767" t="s">
        <v>16</v>
      </c>
      <c r="C240" t="s">
        <v>2660</v>
      </c>
      <c r="D240" t="s">
        <v>2661</v>
      </c>
      <c r="E240" t="s">
        <v>2662</v>
      </c>
      <c r="F240" t="s">
        <v>2614</v>
      </c>
      <c r="G240" t="s">
        <v>2663</v>
      </c>
      <c r="H240" t="s">
        <v>22</v>
      </c>
      <c r="I240" t="s">
        <v>1058</v>
      </c>
    </row>
    <row r="241" spans="1:9" ht="11.25" customHeight="1">
      <c r="A241" s="1767" t="s">
        <v>2416</v>
      </c>
      <c r="B241" s="1767" t="s">
        <v>16</v>
      </c>
      <c r="C241" t="s">
        <v>2667</v>
      </c>
      <c r="D241" t="s">
        <v>2668</v>
      </c>
      <c r="E241" t="s">
        <v>2669</v>
      </c>
      <c r="F241" t="s">
        <v>2614</v>
      </c>
      <c r="G241" t="s">
        <v>2670</v>
      </c>
      <c r="H241" t="s">
        <v>2671</v>
      </c>
      <c r="I241" t="s">
        <v>1058</v>
      </c>
    </row>
    <row r="242" spans="1:9" ht="11.25" customHeight="1">
      <c r="A242" s="1767" t="s">
        <v>2416</v>
      </c>
      <c r="B242" s="1767" t="s">
        <v>16</v>
      </c>
      <c r="C242" t="s">
        <v>2672</v>
      </c>
      <c r="D242" t="s">
        <v>2673</v>
      </c>
      <c r="E242" t="s">
        <v>2674</v>
      </c>
      <c r="F242" t="s">
        <v>2618</v>
      </c>
      <c r="G242" t="s">
        <v>2675</v>
      </c>
      <c r="H242" t="s">
        <v>22</v>
      </c>
      <c r="I242" t="s">
        <v>1058</v>
      </c>
    </row>
    <row r="243" spans="1:9" ht="11.25" customHeight="1">
      <c r="A243" s="1767" t="s">
        <v>2416</v>
      </c>
      <c r="B243" s="1767" t="s">
        <v>16</v>
      </c>
      <c r="C243" t="s">
        <v>2676</v>
      </c>
      <c r="D243" t="s">
        <v>2677</v>
      </c>
      <c r="E243" t="s">
        <v>2678</v>
      </c>
      <c r="F243" t="s">
        <v>2679</v>
      </c>
      <c r="G243" t="s">
        <v>2610</v>
      </c>
      <c r="H243" t="s">
        <v>22</v>
      </c>
      <c r="I243" t="s">
        <v>1058</v>
      </c>
    </row>
    <row r="244" spans="1:9" ht="11.25" customHeight="1">
      <c r="A244" s="1767" t="s">
        <v>2416</v>
      </c>
      <c r="B244" s="1767" t="s">
        <v>16</v>
      </c>
      <c r="C244" t="s">
        <v>2732</v>
      </c>
      <c r="D244" t="s">
        <v>2733</v>
      </c>
      <c r="E244" t="s">
        <v>2734</v>
      </c>
      <c r="F244" t="s">
        <v>2419</v>
      </c>
      <c r="G244" t="s">
        <v>2735</v>
      </c>
      <c r="H244" t="s">
        <v>22</v>
      </c>
      <c r="I244" t="s">
        <v>1058</v>
      </c>
    </row>
    <row r="245" spans="1:9" ht="11.25" customHeight="1">
      <c r="A245" s="1767" t="s">
        <v>2416</v>
      </c>
      <c r="B245" s="1767" t="s">
        <v>16</v>
      </c>
      <c r="C245" t="s">
        <v>2736</v>
      </c>
      <c r="D245" t="s">
        <v>2737</v>
      </c>
      <c r="E245" t="s">
        <v>2738</v>
      </c>
      <c r="F245" t="s">
        <v>2609</v>
      </c>
      <c r="G245" t="s">
        <v>2739</v>
      </c>
      <c r="H245" t="s">
        <v>22</v>
      </c>
      <c r="I245" t="s">
        <v>1058</v>
      </c>
    </row>
    <row r="246" spans="1:9" ht="11.25" customHeight="1">
      <c r="A246" s="1767" t="s">
        <v>2416</v>
      </c>
      <c r="B246" s="1767" t="s">
        <v>16</v>
      </c>
      <c r="C246" t="s">
        <v>2744</v>
      </c>
      <c r="D246" t="s">
        <v>2745</v>
      </c>
      <c r="E246" t="s">
        <v>2746</v>
      </c>
      <c r="F246" t="s">
        <v>2419</v>
      </c>
      <c r="G246" t="s">
        <v>2747</v>
      </c>
      <c r="H246" t="s">
        <v>22</v>
      </c>
      <c r="I246" t="s">
        <v>1058</v>
      </c>
    </row>
    <row r="247" spans="1:9" ht="11.25" customHeight="1">
      <c r="A247" s="1767" t="s">
        <v>2416</v>
      </c>
      <c r="B247" s="1767" t="s">
        <v>16</v>
      </c>
      <c r="C247" t="s">
        <v>3336</v>
      </c>
      <c r="D247" t="s">
        <v>3337</v>
      </c>
      <c r="E247" t="s">
        <v>3338</v>
      </c>
      <c r="F247" t="s">
        <v>2419</v>
      </c>
      <c r="G247" t="s">
        <v>3339</v>
      </c>
      <c r="H247" t="s">
        <v>22</v>
      </c>
      <c r="I247" t="s">
        <v>1058</v>
      </c>
    </row>
    <row r="248" spans="1:9" ht="11.25" customHeight="1">
      <c r="A248" s="1767" t="s">
        <v>2416</v>
      </c>
      <c r="B248" s="1767" t="s">
        <v>16</v>
      </c>
      <c r="C248" t="s">
        <v>2757</v>
      </c>
      <c r="D248" t="s">
        <v>2758</v>
      </c>
      <c r="E248" t="s">
        <v>2759</v>
      </c>
      <c r="F248" t="s">
        <v>2519</v>
      </c>
      <c r="G248" t="s">
        <v>2760</v>
      </c>
      <c r="H248" t="s">
        <v>22</v>
      </c>
      <c r="I248" t="s">
        <v>1058</v>
      </c>
    </row>
    <row r="249" spans="1:9" ht="11.25" customHeight="1">
      <c r="A249" s="1767" t="s">
        <v>2416</v>
      </c>
      <c r="B249" s="1767" t="s">
        <v>16</v>
      </c>
      <c r="C249" t="s">
        <v>2761</v>
      </c>
      <c r="D249" t="s">
        <v>2762</v>
      </c>
      <c r="E249" t="s">
        <v>2763</v>
      </c>
      <c r="F249" t="s">
        <v>2519</v>
      </c>
      <c r="G249" t="s">
        <v>2764</v>
      </c>
      <c r="H249" t="s">
        <v>22</v>
      </c>
      <c r="I249" t="s">
        <v>1058</v>
      </c>
    </row>
    <row r="250" spans="1:9" ht="11.25" customHeight="1">
      <c r="A250" s="1767" t="s">
        <v>2416</v>
      </c>
      <c r="B250" s="1767" t="s">
        <v>16</v>
      </c>
      <c r="C250" t="s">
        <v>2798</v>
      </c>
      <c r="D250" t="s">
        <v>2799</v>
      </c>
      <c r="E250" t="s">
        <v>2800</v>
      </c>
      <c r="F250" t="s">
        <v>2650</v>
      </c>
      <c r="G250" t="s">
        <v>2801</v>
      </c>
      <c r="H250" t="s">
        <v>22</v>
      </c>
      <c r="I250" t="s">
        <v>1058</v>
      </c>
    </row>
    <row r="251" spans="1:9" ht="11.25" customHeight="1">
      <c r="A251" s="1767" t="s">
        <v>2416</v>
      </c>
      <c r="B251" s="1767" t="s">
        <v>16</v>
      </c>
      <c r="C251" t="s">
        <v>2802</v>
      </c>
      <c r="D251" t="s">
        <v>2803</v>
      </c>
      <c r="E251" t="s">
        <v>2804</v>
      </c>
      <c r="F251" t="s">
        <v>2419</v>
      </c>
      <c r="G251" t="s">
        <v>2805</v>
      </c>
      <c r="H251" t="s">
        <v>22</v>
      </c>
      <c r="I251" t="s">
        <v>1058</v>
      </c>
    </row>
    <row r="252" spans="1:9" ht="11.25" customHeight="1">
      <c r="A252" s="1767" t="s">
        <v>2416</v>
      </c>
      <c r="B252" s="1767" t="s">
        <v>16</v>
      </c>
      <c r="C252" t="s">
        <v>3340</v>
      </c>
      <c r="D252" t="s">
        <v>3341</v>
      </c>
      <c r="E252" t="s">
        <v>3342</v>
      </c>
      <c r="F252" t="s">
        <v>2419</v>
      </c>
      <c r="G252" t="s">
        <v>3343</v>
      </c>
      <c r="H252" t="s">
        <v>22</v>
      </c>
      <c r="I252" t="s">
        <v>1058</v>
      </c>
    </row>
    <row r="253" spans="1:9" ht="11.25" customHeight="1">
      <c r="A253" s="1767" t="s">
        <v>2416</v>
      </c>
      <c r="B253" s="1767" t="s">
        <v>16</v>
      </c>
      <c r="C253" t="s">
        <v>2882</v>
      </c>
      <c r="D253" t="s">
        <v>2883</v>
      </c>
      <c r="E253" t="s">
        <v>2884</v>
      </c>
      <c r="F253" t="s">
        <v>2614</v>
      </c>
      <c r="G253" t="s">
        <v>2885</v>
      </c>
      <c r="H253" t="s">
        <v>22</v>
      </c>
      <c r="I253" t="s">
        <v>1058</v>
      </c>
    </row>
    <row r="254" spans="1:9" ht="11.25" customHeight="1">
      <c r="A254" s="1767" t="s">
        <v>2416</v>
      </c>
      <c r="B254" s="1767" t="s">
        <v>16</v>
      </c>
      <c r="C254" t="s">
        <v>2890</v>
      </c>
      <c r="D254" t="s">
        <v>2891</v>
      </c>
      <c r="E254" t="s">
        <v>2892</v>
      </c>
      <c r="F254" t="s">
        <v>2893</v>
      </c>
      <c r="G254" t="s">
        <v>22</v>
      </c>
      <c r="H254" t="s">
        <v>22</v>
      </c>
      <c r="I254" t="s">
        <v>1058</v>
      </c>
    </row>
    <row r="255" spans="1:9" ht="11.25" customHeight="1">
      <c r="A255" s="1767" t="s">
        <v>2416</v>
      </c>
      <c r="B255" s="1767" t="s">
        <v>16</v>
      </c>
      <c r="C255" t="s">
        <v>2914</v>
      </c>
      <c r="D255" t="s">
        <v>2915</v>
      </c>
      <c r="E255" t="s">
        <v>2916</v>
      </c>
      <c r="F255" t="s">
        <v>2471</v>
      </c>
      <c r="G255" t="s">
        <v>2917</v>
      </c>
      <c r="H255" t="s">
        <v>22</v>
      </c>
      <c r="I255" t="s">
        <v>1058</v>
      </c>
    </row>
    <row r="256" spans="1:9" ht="11.25" customHeight="1">
      <c r="A256" s="1767" t="s">
        <v>2416</v>
      </c>
      <c r="B256" s="1767" t="s">
        <v>16</v>
      </c>
      <c r="C256" t="s">
        <v>2922</v>
      </c>
      <c r="D256" t="s">
        <v>2923</v>
      </c>
      <c r="E256" t="s">
        <v>2924</v>
      </c>
      <c r="F256" t="s">
        <v>2481</v>
      </c>
      <c r="G256" t="s">
        <v>2925</v>
      </c>
      <c r="H256" t="s">
        <v>22</v>
      </c>
      <c r="I256" t="s">
        <v>1058</v>
      </c>
    </row>
    <row r="257" spans="1:9" ht="11.25" customHeight="1">
      <c r="A257" s="1767" t="s">
        <v>2416</v>
      </c>
      <c r="B257" s="1767" t="s">
        <v>16</v>
      </c>
      <c r="C257" t="s">
        <v>2926</v>
      </c>
      <c r="D257" t="s">
        <v>2927</v>
      </c>
      <c r="E257" t="s">
        <v>2928</v>
      </c>
      <c r="F257" t="s">
        <v>2423</v>
      </c>
      <c r="G257" t="s">
        <v>2929</v>
      </c>
      <c r="H257" t="s">
        <v>22</v>
      </c>
      <c r="I257" t="s">
        <v>1058</v>
      </c>
    </row>
    <row r="258" spans="1:9" ht="11.25" customHeight="1">
      <c r="A258" s="1767" t="s">
        <v>2416</v>
      </c>
      <c r="B258" s="1767" t="s">
        <v>16</v>
      </c>
      <c r="C258" t="s">
        <v>2958</v>
      </c>
      <c r="D258" t="s">
        <v>2959</v>
      </c>
      <c r="E258" t="s">
        <v>2960</v>
      </c>
      <c r="F258" t="s">
        <v>2419</v>
      </c>
      <c r="G258" t="s">
        <v>2961</v>
      </c>
      <c r="H258" t="s">
        <v>22</v>
      </c>
      <c r="I258" t="s">
        <v>1058</v>
      </c>
    </row>
    <row r="259" spans="1:9" ht="11.25" customHeight="1">
      <c r="A259" s="1767" t="s">
        <v>2416</v>
      </c>
      <c r="B259" s="1767" t="s">
        <v>16</v>
      </c>
      <c r="C259" t="s">
        <v>2966</v>
      </c>
      <c r="D259" t="s">
        <v>2967</v>
      </c>
      <c r="E259" t="s">
        <v>2968</v>
      </c>
      <c r="F259" t="s">
        <v>2419</v>
      </c>
      <c r="G259" t="s">
        <v>2969</v>
      </c>
      <c r="H259" t="s">
        <v>22</v>
      </c>
      <c r="I259" t="s">
        <v>1058</v>
      </c>
    </row>
    <row r="260" spans="1:9" ht="11.25" customHeight="1">
      <c r="A260" s="1767" t="s">
        <v>2416</v>
      </c>
      <c r="B260" s="1767" t="s">
        <v>16</v>
      </c>
      <c r="C260" t="s">
        <v>2985</v>
      </c>
      <c r="D260" t="s">
        <v>2986</v>
      </c>
      <c r="E260" t="s">
        <v>2987</v>
      </c>
      <c r="F260" t="s">
        <v>2419</v>
      </c>
      <c r="G260" t="s">
        <v>2988</v>
      </c>
      <c r="H260" t="s">
        <v>22</v>
      </c>
      <c r="I260" t="s">
        <v>1058</v>
      </c>
    </row>
    <row r="261" spans="1:9" ht="11.25" customHeight="1">
      <c r="A261" s="1767" t="s">
        <v>2416</v>
      </c>
      <c r="B261" s="1767" t="s">
        <v>16</v>
      </c>
      <c r="C261" t="s">
        <v>2996</v>
      </c>
      <c r="D261" t="s">
        <v>2997</v>
      </c>
      <c r="E261" t="s">
        <v>2998</v>
      </c>
      <c r="F261" t="s">
        <v>2609</v>
      </c>
      <c r="G261" t="s">
        <v>2999</v>
      </c>
      <c r="H261" t="s">
        <v>22</v>
      </c>
      <c r="I261" t="s">
        <v>1058</v>
      </c>
    </row>
    <row r="262" spans="1:9" ht="11.25" customHeight="1">
      <c r="A262" s="1767" t="s">
        <v>2416</v>
      </c>
      <c r="B262" s="1767" t="s">
        <v>16</v>
      </c>
      <c r="C262" t="s">
        <v>3051</v>
      </c>
      <c r="D262" t="s">
        <v>3052</v>
      </c>
      <c r="E262" t="s">
        <v>3053</v>
      </c>
      <c r="F262" t="s">
        <v>2519</v>
      </c>
      <c r="G262" t="s">
        <v>3054</v>
      </c>
      <c r="H262" t="s">
        <v>22</v>
      </c>
      <c r="I262" t="s">
        <v>1058</v>
      </c>
    </row>
    <row r="263" spans="1:9" ht="11.25" customHeight="1">
      <c r="A263" s="1767" t="s">
        <v>2416</v>
      </c>
      <c r="B263" s="1767" t="s">
        <v>16</v>
      </c>
      <c r="C263" t="s">
        <v>3064</v>
      </c>
      <c r="D263" t="s">
        <v>3065</v>
      </c>
      <c r="E263" t="s">
        <v>3066</v>
      </c>
      <c r="F263" t="s">
        <v>2614</v>
      </c>
      <c r="G263" t="s">
        <v>22</v>
      </c>
      <c r="H263" t="s">
        <v>22</v>
      </c>
      <c r="I263" t="s">
        <v>1058</v>
      </c>
    </row>
    <row r="264" spans="1:9" ht="11.25" customHeight="1">
      <c r="A264" s="1767" t="s">
        <v>2416</v>
      </c>
      <c r="B264" s="1767" t="s">
        <v>16</v>
      </c>
      <c r="C264" t="s">
        <v>3067</v>
      </c>
      <c r="D264" t="s">
        <v>3068</v>
      </c>
      <c r="E264" t="s">
        <v>3069</v>
      </c>
      <c r="F264" t="s">
        <v>2614</v>
      </c>
      <c r="G264" t="s">
        <v>3070</v>
      </c>
      <c r="H264" t="s">
        <v>22</v>
      </c>
      <c r="I264" t="s">
        <v>1058</v>
      </c>
    </row>
    <row r="265" spans="1:9" ht="11.25" customHeight="1">
      <c r="A265" s="1767" t="s">
        <v>2416</v>
      </c>
      <c r="B265" s="1767" t="s">
        <v>16</v>
      </c>
      <c r="C265" t="s">
        <v>3344</v>
      </c>
      <c r="D265" t="s">
        <v>3345</v>
      </c>
      <c r="E265" t="s">
        <v>3346</v>
      </c>
      <c r="F265" t="s">
        <v>2419</v>
      </c>
      <c r="G265" t="s">
        <v>3347</v>
      </c>
      <c r="H265" t="s">
        <v>22</v>
      </c>
      <c r="I265" t="s">
        <v>1058</v>
      </c>
    </row>
    <row r="266" spans="1:9" ht="11.25" customHeight="1">
      <c r="A266" s="1767" t="s">
        <v>2416</v>
      </c>
      <c r="B266" s="1767" t="s">
        <v>16</v>
      </c>
      <c r="C266" t="s">
        <v>3095</v>
      </c>
      <c r="D266" t="s">
        <v>3096</v>
      </c>
      <c r="E266" t="s">
        <v>3097</v>
      </c>
      <c r="F266" t="s">
        <v>3081</v>
      </c>
      <c r="G266" t="s">
        <v>3098</v>
      </c>
      <c r="H266" t="s">
        <v>22</v>
      </c>
      <c r="I266" t="s">
        <v>1058</v>
      </c>
    </row>
    <row r="267" spans="1:9" ht="11.25" customHeight="1">
      <c r="A267" s="1767" t="s">
        <v>2416</v>
      </c>
      <c r="B267" s="1767" t="s">
        <v>16</v>
      </c>
      <c r="C267" t="s">
        <v>3099</v>
      </c>
      <c r="D267" t="s">
        <v>3100</v>
      </c>
      <c r="E267" t="s">
        <v>3101</v>
      </c>
      <c r="F267" t="s">
        <v>2650</v>
      </c>
      <c r="G267" t="s">
        <v>3102</v>
      </c>
      <c r="H267" t="s">
        <v>22</v>
      </c>
      <c r="I267" t="s">
        <v>1058</v>
      </c>
    </row>
    <row r="268" spans="1:9" ht="11.25" customHeight="1">
      <c r="A268" s="1767" t="s">
        <v>2416</v>
      </c>
      <c r="B268" s="1767" t="s">
        <v>16</v>
      </c>
      <c r="C268" t="s">
        <v>3111</v>
      </c>
      <c r="D268" t="s">
        <v>3112</v>
      </c>
      <c r="E268" t="s">
        <v>3113</v>
      </c>
      <c r="F268" t="s">
        <v>2618</v>
      </c>
      <c r="G268" t="s">
        <v>3114</v>
      </c>
      <c r="H268" t="s">
        <v>22</v>
      </c>
      <c r="I268" t="s">
        <v>1058</v>
      </c>
    </row>
    <row r="269" spans="1:9" ht="11.25" customHeight="1">
      <c r="A269" s="1767" t="s">
        <v>2416</v>
      </c>
      <c r="B269" s="1767" t="s">
        <v>16</v>
      </c>
      <c r="C269" t="s">
        <v>3127</v>
      </c>
      <c r="D269" t="s">
        <v>3128</v>
      </c>
      <c r="E269" t="s">
        <v>3129</v>
      </c>
      <c r="F269" t="s">
        <v>3130</v>
      </c>
      <c r="G269" t="s">
        <v>3131</v>
      </c>
      <c r="H269" t="s">
        <v>22</v>
      </c>
      <c r="I269" t="s">
        <v>1058</v>
      </c>
    </row>
    <row r="270" spans="1:9" ht="11.25" customHeight="1">
      <c r="A270" s="1767" t="s">
        <v>2416</v>
      </c>
      <c r="B270" s="1767" t="s">
        <v>16</v>
      </c>
      <c r="C270" t="s">
        <v>3139</v>
      </c>
      <c r="D270" t="s">
        <v>3140</v>
      </c>
      <c r="E270" t="s">
        <v>3141</v>
      </c>
      <c r="F270" t="s">
        <v>2650</v>
      </c>
      <c r="G270" t="s">
        <v>3142</v>
      </c>
      <c r="H270" t="s">
        <v>22</v>
      </c>
      <c r="I270" t="s">
        <v>1058</v>
      </c>
    </row>
    <row r="271" spans="1:9" ht="11.25" customHeight="1">
      <c r="A271" s="1767" t="s">
        <v>2416</v>
      </c>
      <c r="B271" s="1767" t="s">
        <v>16</v>
      </c>
      <c r="C271" t="s">
        <v>3143</v>
      </c>
      <c r="D271" t="s">
        <v>3144</v>
      </c>
      <c r="E271" t="s">
        <v>3145</v>
      </c>
      <c r="F271" t="s">
        <v>2780</v>
      </c>
      <c r="G271" t="s">
        <v>3146</v>
      </c>
      <c r="H271" t="s">
        <v>22</v>
      </c>
      <c r="I271" t="s">
        <v>1058</v>
      </c>
    </row>
    <row r="272" spans="1:9" ht="11.25" customHeight="1">
      <c r="A272" s="1767" t="s">
        <v>2416</v>
      </c>
      <c r="B272" s="1767" t="s">
        <v>16</v>
      </c>
      <c r="C272" t="s">
        <v>3348</v>
      </c>
      <c r="D272" t="s">
        <v>3349</v>
      </c>
      <c r="E272" t="s">
        <v>3350</v>
      </c>
      <c r="F272" t="s">
        <v>2419</v>
      </c>
      <c r="G272" t="s">
        <v>3351</v>
      </c>
      <c r="H272" t="s">
        <v>22</v>
      </c>
      <c r="I272" t="s">
        <v>1058</v>
      </c>
    </row>
    <row r="273" spans="1:9" ht="11.25" customHeight="1">
      <c r="A273" s="1767" t="s">
        <v>2416</v>
      </c>
      <c r="B273" s="1767" t="s">
        <v>16</v>
      </c>
      <c r="C273" t="s">
        <v>3215</v>
      </c>
      <c r="D273" t="s">
        <v>3216</v>
      </c>
      <c r="E273" t="s">
        <v>2461</v>
      </c>
      <c r="F273" t="s">
        <v>3217</v>
      </c>
      <c r="G273" t="s">
        <v>3218</v>
      </c>
      <c r="H273" t="s">
        <v>22</v>
      </c>
      <c r="I273" t="s">
        <v>1058</v>
      </c>
    </row>
    <row r="274" spans="1:9" ht="11.25" customHeight="1">
      <c r="A274" s="1767" t="s">
        <v>2416</v>
      </c>
      <c r="B274" s="1767" t="s">
        <v>16</v>
      </c>
      <c r="C274" t="s">
        <v>3223</v>
      </c>
      <c r="D274" t="s">
        <v>46</v>
      </c>
      <c r="E274" t="s">
        <v>49</v>
      </c>
      <c r="F274" t="s">
        <v>3224</v>
      </c>
      <c r="G274" t="s">
        <v>3225</v>
      </c>
      <c r="H274" t="s">
        <v>22</v>
      </c>
      <c r="I274" t="s">
        <v>1058</v>
      </c>
    </row>
    <row r="275" spans="1:9" ht="11.25" customHeight="1">
      <c r="A275" s="1767" t="s">
        <v>2416</v>
      </c>
      <c r="B275" s="1767" t="s">
        <v>16</v>
      </c>
      <c r="C275" t="s">
        <v>13</v>
      </c>
      <c r="D275" t="s">
        <v>46</v>
      </c>
      <c r="E275" t="s">
        <v>49</v>
      </c>
      <c r="F275" t="s">
        <v>51</v>
      </c>
      <c r="G275" t="s">
        <v>22</v>
      </c>
      <c r="H275" t="s">
        <v>22</v>
      </c>
      <c r="I275" t="s">
        <v>1058</v>
      </c>
    </row>
    <row r="276" spans="1:9" ht="11.25" customHeight="1">
      <c r="A276" s="1767" t="s">
        <v>2416</v>
      </c>
      <c r="B276" s="1767" t="s">
        <v>16</v>
      </c>
      <c r="C276" t="s">
        <v>3239</v>
      </c>
      <c r="D276" t="s">
        <v>3240</v>
      </c>
      <c r="E276" t="s">
        <v>2441</v>
      </c>
      <c r="F276" t="s">
        <v>3241</v>
      </c>
      <c r="G276" t="s">
        <v>2442</v>
      </c>
      <c r="H276" t="s">
        <v>22</v>
      </c>
      <c r="I276" t="s">
        <v>1058</v>
      </c>
    </row>
    <row r="277" spans="1:9" ht="11.25" customHeight="1">
      <c r="A277" s="1767" t="s">
        <v>2416</v>
      </c>
      <c r="B277" s="1767" t="s">
        <v>16</v>
      </c>
      <c r="C277" t="s">
        <v>3260</v>
      </c>
      <c r="D277" t="s">
        <v>3261</v>
      </c>
      <c r="E277" t="s">
        <v>2506</v>
      </c>
      <c r="F277" t="s">
        <v>3262</v>
      </c>
      <c r="G277" t="s">
        <v>22</v>
      </c>
      <c r="H277" t="s">
        <v>22</v>
      </c>
      <c r="I277" t="s">
        <v>1058</v>
      </c>
    </row>
    <row r="278" spans="1:9" ht="11.25" customHeight="1">
      <c r="A278" s="1767" t="s">
        <v>2416</v>
      </c>
      <c r="B278" s="1767" t="s">
        <v>16</v>
      </c>
      <c r="C278" t="s">
        <v>3263</v>
      </c>
      <c r="D278" t="s">
        <v>3264</v>
      </c>
      <c r="E278" t="s">
        <v>3265</v>
      </c>
      <c r="F278" t="s">
        <v>3266</v>
      </c>
      <c r="G278" t="s">
        <v>3267</v>
      </c>
      <c r="H278" t="s">
        <v>22</v>
      </c>
      <c r="I278" t="s">
        <v>1058</v>
      </c>
    </row>
    <row r="279" spans="1:9" ht="11.25" customHeight="1">
      <c r="A279" s="1767" t="s">
        <v>2416</v>
      </c>
      <c r="B279" s="1767" t="s">
        <v>16</v>
      </c>
      <c r="C279" t="s">
        <v>3268</v>
      </c>
      <c r="D279" t="s">
        <v>3269</v>
      </c>
      <c r="E279" t="s">
        <v>3265</v>
      </c>
      <c r="F279" t="s">
        <v>2580</v>
      </c>
      <c r="G279" t="s">
        <v>3270</v>
      </c>
      <c r="H279" t="s">
        <v>22</v>
      </c>
      <c r="I279" t="s">
        <v>1058</v>
      </c>
    </row>
    <row r="280" spans="1:9" ht="11.25" customHeight="1">
      <c r="A280" s="1767" t="s">
        <v>2416</v>
      </c>
      <c r="B280" s="1767" t="s">
        <v>16</v>
      </c>
      <c r="C280" t="s">
        <v>3282</v>
      </c>
      <c r="D280" t="s">
        <v>3283</v>
      </c>
      <c r="E280" t="s">
        <v>3284</v>
      </c>
      <c r="F280" t="s">
        <v>3285</v>
      </c>
      <c r="G280" t="s">
        <v>3286</v>
      </c>
      <c r="H280" t="s">
        <v>22</v>
      </c>
      <c r="I280" t="s">
        <v>1058</v>
      </c>
    </row>
    <row r="281" spans="1:9" ht="11.25" customHeight="1">
      <c r="A281" s="1767" t="s">
        <v>2416</v>
      </c>
      <c r="B281" s="1767" t="s">
        <v>16</v>
      </c>
      <c r="C281" t="s">
        <v>22</v>
      </c>
      <c r="D281" t="s">
        <v>2417</v>
      </c>
      <c r="E281" t="s">
        <v>2418</v>
      </c>
      <c r="F281" t="s">
        <v>2419</v>
      </c>
      <c r="G281" t="s">
        <v>22</v>
      </c>
      <c r="H281" t="s">
        <v>22</v>
      </c>
      <c r="I281" t="s">
        <v>1018</v>
      </c>
    </row>
    <row r="282" spans="1:9" ht="11.25" customHeight="1">
      <c r="A282" s="1767" t="s">
        <v>2416</v>
      </c>
      <c r="B282" s="1767" t="s">
        <v>16</v>
      </c>
      <c r="C282" t="s">
        <v>2434</v>
      </c>
      <c r="D282" t="s">
        <v>2435</v>
      </c>
      <c r="E282" t="s">
        <v>2436</v>
      </c>
      <c r="F282" t="s">
        <v>2437</v>
      </c>
      <c r="G282" t="s">
        <v>2438</v>
      </c>
      <c r="H282" t="s">
        <v>22</v>
      </c>
      <c r="I282" t="s">
        <v>1018</v>
      </c>
    </row>
    <row r="283" spans="1:9" ht="11.25" customHeight="1">
      <c r="A283" s="1767" t="s">
        <v>2416</v>
      </c>
      <c r="B283" s="1767" t="s">
        <v>16</v>
      </c>
      <c r="C283" t="s">
        <v>2439</v>
      </c>
      <c r="D283" t="s">
        <v>2440</v>
      </c>
      <c r="E283" t="s">
        <v>2441</v>
      </c>
      <c r="F283" t="s">
        <v>2419</v>
      </c>
      <c r="G283" t="s">
        <v>2442</v>
      </c>
      <c r="H283" t="s">
        <v>22</v>
      </c>
      <c r="I283" t="s">
        <v>1018</v>
      </c>
    </row>
    <row r="284" spans="1:9" ht="11.25" customHeight="1">
      <c r="A284" s="1767" t="s">
        <v>2416</v>
      </c>
      <c r="B284" s="1767" t="s">
        <v>16</v>
      </c>
      <c r="C284" t="s">
        <v>2443</v>
      </c>
      <c r="D284" t="s">
        <v>2444</v>
      </c>
      <c r="E284" t="s">
        <v>2445</v>
      </c>
      <c r="F284" t="s">
        <v>2419</v>
      </c>
      <c r="G284" t="s">
        <v>2446</v>
      </c>
      <c r="H284" t="s">
        <v>22</v>
      </c>
      <c r="I284" t="s">
        <v>1018</v>
      </c>
    </row>
    <row r="285" spans="1:9" ht="11.25" customHeight="1">
      <c r="A285" s="1767" t="s">
        <v>2416</v>
      </c>
      <c r="B285" s="1767" t="s">
        <v>16</v>
      </c>
      <c r="C285" t="s">
        <v>2459</v>
      </c>
      <c r="D285" t="s">
        <v>2460</v>
      </c>
      <c r="E285" t="s">
        <v>2461</v>
      </c>
      <c r="F285" t="s">
        <v>2462</v>
      </c>
      <c r="G285" t="s">
        <v>22</v>
      </c>
      <c r="H285" t="s">
        <v>22</v>
      </c>
      <c r="I285" t="s">
        <v>1018</v>
      </c>
    </row>
    <row r="286" spans="1:9" ht="11.25" customHeight="1">
      <c r="A286" s="1767" t="s">
        <v>2416</v>
      </c>
      <c r="B286" s="1767" t="s">
        <v>16</v>
      </c>
      <c r="C286" t="s">
        <v>2463</v>
      </c>
      <c r="D286" t="s">
        <v>2464</v>
      </c>
      <c r="E286" t="s">
        <v>2465</v>
      </c>
      <c r="F286" t="s">
        <v>2466</v>
      </c>
      <c r="G286" t="s">
        <v>2467</v>
      </c>
      <c r="H286" t="s">
        <v>22</v>
      </c>
      <c r="I286" t="s">
        <v>1018</v>
      </c>
    </row>
    <row r="287" spans="1:9" ht="11.25" customHeight="1">
      <c r="A287" s="1767" t="s">
        <v>2416</v>
      </c>
      <c r="B287" s="1767" t="s">
        <v>16</v>
      </c>
      <c r="C287" t="s">
        <v>2468</v>
      </c>
      <c r="D287" t="s">
        <v>2469</v>
      </c>
      <c r="E287" t="s">
        <v>2470</v>
      </c>
      <c r="F287" t="s">
        <v>2471</v>
      </c>
      <c r="G287" t="s">
        <v>2472</v>
      </c>
      <c r="H287" t="s">
        <v>22</v>
      </c>
      <c r="I287" t="s">
        <v>1018</v>
      </c>
    </row>
    <row r="288" spans="1:9" ht="11.25" customHeight="1">
      <c r="A288" s="1767" t="s">
        <v>2416</v>
      </c>
      <c r="B288" s="1767" t="s">
        <v>16</v>
      </c>
      <c r="C288" t="s">
        <v>2487</v>
      </c>
      <c r="D288" t="s">
        <v>2488</v>
      </c>
      <c r="E288" t="s">
        <v>2489</v>
      </c>
      <c r="F288" t="s">
        <v>2490</v>
      </c>
      <c r="G288" t="s">
        <v>2491</v>
      </c>
      <c r="H288" t="s">
        <v>22</v>
      </c>
      <c r="I288" t="s">
        <v>1018</v>
      </c>
    </row>
    <row r="289" spans="1:9" ht="11.25" customHeight="1">
      <c r="A289" s="1767" t="s">
        <v>2416</v>
      </c>
      <c r="B289" s="1767" t="s">
        <v>16</v>
      </c>
      <c r="C289" t="s">
        <v>2492</v>
      </c>
      <c r="D289" t="s">
        <v>2493</v>
      </c>
      <c r="E289" t="s">
        <v>2494</v>
      </c>
      <c r="F289" t="s">
        <v>2437</v>
      </c>
      <c r="G289" t="s">
        <v>2495</v>
      </c>
      <c r="H289" t="s">
        <v>22</v>
      </c>
      <c r="I289" t="s">
        <v>1018</v>
      </c>
    </row>
    <row r="290" spans="1:9" ht="11.25" customHeight="1">
      <c r="A290" s="1767" t="s">
        <v>2416</v>
      </c>
      <c r="B290" s="1767" t="s">
        <v>16</v>
      </c>
      <c r="C290" t="s">
        <v>3352</v>
      </c>
      <c r="D290" t="s">
        <v>3353</v>
      </c>
      <c r="E290" t="s">
        <v>3354</v>
      </c>
      <c r="F290" t="s">
        <v>2691</v>
      </c>
      <c r="G290" t="s">
        <v>3355</v>
      </c>
      <c r="H290" t="s">
        <v>22</v>
      </c>
      <c r="I290" t="s">
        <v>1018</v>
      </c>
    </row>
    <row r="291" spans="1:9" ht="11.25" customHeight="1">
      <c r="A291" s="1767" t="s">
        <v>2416</v>
      </c>
      <c r="B291" s="1767" t="s">
        <v>16</v>
      </c>
      <c r="C291" t="s">
        <v>2496</v>
      </c>
      <c r="D291" t="s">
        <v>2497</v>
      </c>
      <c r="E291" t="s">
        <v>2498</v>
      </c>
      <c r="F291" t="s">
        <v>2490</v>
      </c>
      <c r="G291" t="s">
        <v>2499</v>
      </c>
      <c r="H291" t="s">
        <v>22</v>
      </c>
      <c r="I291" t="s">
        <v>1018</v>
      </c>
    </row>
    <row r="292" spans="1:9" ht="11.25" customHeight="1">
      <c r="A292" s="1767" t="s">
        <v>2416</v>
      </c>
      <c r="B292" s="1767" t="s">
        <v>16</v>
      </c>
      <c r="C292" t="s">
        <v>2524</v>
      </c>
      <c r="D292" t="s">
        <v>2525</v>
      </c>
      <c r="E292" t="s">
        <v>2526</v>
      </c>
      <c r="F292" t="s">
        <v>2527</v>
      </c>
      <c r="G292" t="s">
        <v>2528</v>
      </c>
      <c r="H292" t="s">
        <v>22</v>
      </c>
      <c r="I292" t="s">
        <v>1018</v>
      </c>
    </row>
    <row r="293" spans="1:9" ht="11.25" customHeight="1">
      <c r="A293" s="1767" t="s">
        <v>2416</v>
      </c>
      <c r="B293" s="1767" t="s">
        <v>16</v>
      </c>
      <c r="C293" t="s">
        <v>2541</v>
      </c>
      <c r="D293" t="s">
        <v>2542</v>
      </c>
      <c r="E293" t="s">
        <v>2543</v>
      </c>
      <c r="F293" t="s">
        <v>2419</v>
      </c>
      <c r="G293" t="s">
        <v>2544</v>
      </c>
      <c r="H293" t="s">
        <v>22</v>
      </c>
      <c r="I293" t="s">
        <v>1018</v>
      </c>
    </row>
    <row r="294" spans="1:9" ht="11.25" customHeight="1">
      <c r="A294" s="1767" t="s">
        <v>2416</v>
      </c>
      <c r="B294" s="1767" t="s">
        <v>16</v>
      </c>
      <c r="C294" t="s">
        <v>2577</v>
      </c>
      <c r="D294" t="s">
        <v>2578</v>
      </c>
      <c r="E294" t="s">
        <v>2579</v>
      </c>
      <c r="F294" t="s">
        <v>2580</v>
      </c>
      <c r="G294" t="s">
        <v>2581</v>
      </c>
      <c r="H294" t="s">
        <v>22</v>
      </c>
      <c r="I294" t="s">
        <v>1018</v>
      </c>
    </row>
    <row r="295" spans="1:9" ht="11.25" customHeight="1">
      <c r="A295" s="1767" t="s">
        <v>2416</v>
      </c>
      <c r="B295" s="1767" t="s">
        <v>16</v>
      </c>
      <c r="C295" t="s">
        <v>2582</v>
      </c>
      <c r="D295" t="s">
        <v>2583</v>
      </c>
      <c r="E295" t="s">
        <v>2441</v>
      </c>
      <c r="F295" t="s">
        <v>2584</v>
      </c>
      <c r="G295" t="s">
        <v>2442</v>
      </c>
      <c r="H295" t="s">
        <v>22</v>
      </c>
      <c r="I295" t="s">
        <v>1018</v>
      </c>
    </row>
    <row r="296" spans="1:9" ht="11.25" customHeight="1">
      <c r="A296" s="1767" t="s">
        <v>2416</v>
      </c>
      <c r="B296" s="1767" t="s">
        <v>16</v>
      </c>
      <c r="C296" t="s">
        <v>3356</v>
      </c>
      <c r="D296" t="s">
        <v>3357</v>
      </c>
      <c r="E296" t="s">
        <v>3358</v>
      </c>
      <c r="F296" t="s">
        <v>2540</v>
      </c>
      <c r="G296" t="s">
        <v>3222</v>
      </c>
      <c r="H296" t="s">
        <v>22</v>
      </c>
      <c r="I296" t="s">
        <v>1018</v>
      </c>
    </row>
    <row r="297" spans="1:9" ht="11.25" customHeight="1">
      <c r="A297" s="1767" t="s">
        <v>2416</v>
      </c>
      <c r="B297" s="1767" t="s">
        <v>16</v>
      </c>
      <c r="C297" t="s">
        <v>2585</v>
      </c>
      <c r="D297" t="s">
        <v>2586</v>
      </c>
      <c r="E297" t="s">
        <v>2441</v>
      </c>
      <c r="F297" t="s">
        <v>2587</v>
      </c>
      <c r="G297" t="s">
        <v>2442</v>
      </c>
      <c r="H297" t="s">
        <v>22</v>
      </c>
      <c r="I297" t="s">
        <v>1018</v>
      </c>
    </row>
    <row r="298" spans="1:9" ht="11.25" customHeight="1">
      <c r="A298" s="1767" t="s">
        <v>2416</v>
      </c>
      <c r="B298" s="1767" t="s">
        <v>16</v>
      </c>
      <c r="C298" t="s">
        <v>3359</v>
      </c>
      <c r="D298" t="s">
        <v>3360</v>
      </c>
      <c r="E298" t="s">
        <v>3361</v>
      </c>
      <c r="F298" t="s">
        <v>2471</v>
      </c>
      <c r="G298" t="s">
        <v>2635</v>
      </c>
      <c r="H298" t="s">
        <v>22</v>
      </c>
      <c r="I298" t="s">
        <v>1018</v>
      </c>
    </row>
    <row r="299" spans="1:9" ht="11.25" customHeight="1">
      <c r="A299" s="1767" t="s">
        <v>2416</v>
      </c>
      <c r="B299" s="1767" t="s">
        <v>16</v>
      </c>
      <c r="C299" t="s">
        <v>2636</v>
      </c>
      <c r="D299" t="s">
        <v>2637</v>
      </c>
      <c r="E299" t="s">
        <v>2638</v>
      </c>
      <c r="F299" t="s">
        <v>2540</v>
      </c>
      <c r="G299" t="s">
        <v>2639</v>
      </c>
      <c r="H299" t="s">
        <v>22</v>
      </c>
      <c r="I299" t="s">
        <v>1018</v>
      </c>
    </row>
    <row r="300" spans="1:9" ht="11.25" customHeight="1">
      <c r="A300" s="1767" t="s">
        <v>2416</v>
      </c>
      <c r="B300" s="1767" t="s">
        <v>16</v>
      </c>
      <c r="C300" t="s">
        <v>2647</v>
      </c>
      <c r="D300" t="s">
        <v>2648</v>
      </c>
      <c r="E300" t="s">
        <v>2649</v>
      </c>
      <c r="F300" t="s">
        <v>2650</v>
      </c>
      <c r="G300" t="s">
        <v>2651</v>
      </c>
      <c r="H300" t="s">
        <v>22</v>
      </c>
      <c r="I300" t="s">
        <v>1018</v>
      </c>
    </row>
    <row r="301" spans="1:9" ht="11.25" customHeight="1">
      <c r="A301" s="1767" t="s">
        <v>2416</v>
      </c>
      <c r="B301" s="1767" t="s">
        <v>16</v>
      </c>
      <c r="C301" t="s">
        <v>3362</v>
      </c>
      <c r="D301" t="s">
        <v>3363</v>
      </c>
      <c r="E301" t="s">
        <v>3364</v>
      </c>
      <c r="F301" t="s">
        <v>2419</v>
      </c>
      <c r="G301" t="s">
        <v>3365</v>
      </c>
      <c r="H301" t="s">
        <v>22</v>
      </c>
      <c r="I301" t="s">
        <v>1018</v>
      </c>
    </row>
    <row r="302" spans="1:9" ht="11.25" customHeight="1">
      <c r="A302" s="1767" t="s">
        <v>2416</v>
      </c>
      <c r="B302" s="1767" t="s">
        <v>16</v>
      </c>
      <c r="C302" t="s">
        <v>2652</v>
      </c>
      <c r="D302" t="s">
        <v>2653</v>
      </c>
      <c r="E302" t="s">
        <v>2654</v>
      </c>
      <c r="F302" t="s">
        <v>2614</v>
      </c>
      <c r="G302" t="s">
        <v>2655</v>
      </c>
      <c r="H302" t="s">
        <v>22</v>
      </c>
      <c r="I302" t="s">
        <v>1018</v>
      </c>
    </row>
    <row r="303" spans="1:9" ht="11.25" customHeight="1">
      <c r="A303" s="1767" t="s">
        <v>2416</v>
      </c>
      <c r="B303" s="1767" t="s">
        <v>16</v>
      </c>
      <c r="C303" t="s">
        <v>2656</v>
      </c>
      <c r="D303" t="s">
        <v>2657</v>
      </c>
      <c r="E303" t="s">
        <v>2658</v>
      </c>
      <c r="F303" t="s">
        <v>2659</v>
      </c>
      <c r="G303" t="s">
        <v>2544</v>
      </c>
      <c r="H303" t="s">
        <v>22</v>
      </c>
      <c r="I303" t="s">
        <v>1018</v>
      </c>
    </row>
    <row r="304" spans="1:9" ht="11.25" customHeight="1">
      <c r="A304" s="1767" t="s">
        <v>2416</v>
      </c>
      <c r="B304" s="1767" t="s">
        <v>16</v>
      </c>
      <c r="C304" t="s">
        <v>2660</v>
      </c>
      <c r="D304" t="s">
        <v>2661</v>
      </c>
      <c r="E304" t="s">
        <v>2662</v>
      </c>
      <c r="F304" t="s">
        <v>2614</v>
      </c>
      <c r="G304" t="s">
        <v>2663</v>
      </c>
      <c r="H304" t="s">
        <v>22</v>
      </c>
      <c r="I304" t="s">
        <v>1018</v>
      </c>
    </row>
    <row r="305" spans="1:9" ht="11.25" customHeight="1">
      <c r="A305" s="1767" t="s">
        <v>2416</v>
      </c>
      <c r="B305" s="1767" t="s">
        <v>16</v>
      </c>
      <c r="C305" t="s">
        <v>2667</v>
      </c>
      <c r="D305" t="s">
        <v>2668</v>
      </c>
      <c r="E305" t="s">
        <v>2669</v>
      </c>
      <c r="F305" t="s">
        <v>2614</v>
      </c>
      <c r="G305" t="s">
        <v>2670</v>
      </c>
      <c r="H305" t="s">
        <v>2671</v>
      </c>
      <c r="I305" t="s">
        <v>1018</v>
      </c>
    </row>
    <row r="306" spans="1:9" ht="11.25" customHeight="1">
      <c r="A306" s="1767" t="s">
        <v>2416</v>
      </c>
      <c r="B306" s="1767" t="s">
        <v>16</v>
      </c>
      <c r="C306" t="s">
        <v>3366</v>
      </c>
      <c r="D306" t="s">
        <v>3367</v>
      </c>
      <c r="E306" t="s">
        <v>3368</v>
      </c>
      <c r="F306" t="s">
        <v>2481</v>
      </c>
      <c r="G306" t="s">
        <v>3369</v>
      </c>
      <c r="H306" t="s">
        <v>22</v>
      </c>
      <c r="I306" t="s">
        <v>1018</v>
      </c>
    </row>
    <row r="307" spans="1:9" ht="11.25" customHeight="1">
      <c r="A307" s="1767" t="s">
        <v>2416</v>
      </c>
      <c r="B307" s="1767" t="s">
        <v>16</v>
      </c>
      <c r="C307" t="s">
        <v>2672</v>
      </c>
      <c r="D307" t="s">
        <v>2673</v>
      </c>
      <c r="E307" t="s">
        <v>2674</v>
      </c>
      <c r="F307" t="s">
        <v>2618</v>
      </c>
      <c r="G307" t="s">
        <v>2675</v>
      </c>
      <c r="H307" t="s">
        <v>22</v>
      </c>
      <c r="I307" t="s">
        <v>1018</v>
      </c>
    </row>
    <row r="308" spans="1:9" ht="11.25" customHeight="1">
      <c r="A308" s="1767" t="s">
        <v>2416</v>
      </c>
      <c r="B308" s="1767" t="s">
        <v>16</v>
      </c>
      <c r="C308" t="s">
        <v>3370</v>
      </c>
      <c r="D308" t="s">
        <v>3371</v>
      </c>
      <c r="E308" t="s">
        <v>3372</v>
      </c>
      <c r="F308" t="s">
        <v>2481</v>
      </c>
      <c r="G308" t="s">
        <v>3373</v>
      </c>
      <c r="H308" t="s">
        <v>22</v>
      </c>
      <c r="I308" t="s">
        <v>1018</v>
      </c>
    </row>
    <row r="309" spans="1:9" ht="11.25" customHeight="1">
      <c r="A309" s="1767" t="s">
        <v>2416</v>
      </c>
      <c r="B309" s="1767" t="s">
        <v>16</v>
      </c>
      <c r="C309" t="s">
        <v>2676</v>
      </c>
      <c r="D309" t="s">
        <v>2677</v>
      </c>
      <c r="E309" t="s">
        <v>2678</v>
      </c>
      <c r="F309" t="s">
        <v>2679</v>
      </c>
      <c r="G309" t="s">
        <v>2610</v>
      </c>
      <c r="H309" t="s">
        <v>22</v>
      </c>
      <c r="I309" t="s">
        <v>1018</v>
      </c>
    </row>
    <row r="310" spans="1:9" ht="11.25" customHeight="1">
      <c r="A310" s="1767" t="s">
        <v>2416</v>
      </c>
      <c r="B310" s="1767" t="s">
        <v>16</v>
      </c>
      <c r="C310" t="s">
        <v>2680</v>
      </c>
      <c r="D310" t="s">
        <v>2681</v>
      </c>
      <c r="E310" t="s">
        <v>2682</v>
      </c>
      <c r="F310" t="s">
        <v>2614</v>
      </c>
      <c r="G310" t="s">
        <v>2683</v>
      </c>
      <c r="H310" t="s">
        <v>22</v>
      </c>
      <c r="I310" t="s">
        <v>1018</v>
      </c>
    </row>
    <row r="311" spans="1:9" ht="11.25" customHeight="1">
      <c r="A311" s="1767" t="s">
        <v>2416</v>
      </c>
      <c r="B311" s="1767" t="s">
        <v>16</v>
      </c>
      <c r="C311" t="s">
        <v>2684</v>
      </c>
      <c r="D311" t="s">
        <v>2685</v>
      </c>
      <c r="E311" t="s">
        <v>2686</v>
      </c>
      <c r="F311" t="s">
        <v>2519</v>
      </c>
      <c r="G311" t="s">
        <v>2687</v>
      </c>
      <c r="H311" t="s">
        <v>22</v>
      </c>
      <c r="I311" t="s">
        <v>1018</v>
      </c>
    </row>
    <row r="312" spans="1:9" ht="11.25" customHeight="1">
      <c r="A312" s="1767" t="s">
        <v>2416</v>
      </c>
      <c r="B312" s="1767" t="s">
        <v>16</v>
      </c>
      <c r="C312" t="s">
        <v>3374</v>
      </c>
      <c r="D312" t="s">
        <v>3375</v>
      </c>
      <c r="E312" t="s">
        <v>3376</v>
      </c>
      <c r="F312" t="s">
        <v>2691</v>
      </c>
      <c r="G312" t="s">
        <v>3377</v>
      </c>
      <c r="H312" t="s">
        <v>22</v>
      </c>
      <c r="I312" t="s">
        <v>1018</v>
      </c>
    </row>
    <row r="313" spans="1:9" ht="11.25" customHeight="1">
      <c r="A313" s="1767" t="s">
        <v>2416</v>
      </c>
      <c r="B313" s="1767" t="s">
        <v>16</v>
      </c>
      <c r="C313" t="s">
        <v>2688</v>
      </c>
      <c r="D313" t="s">
        <v>2689</v>
      </c>
      <c r="E313" t="s">
        <v>2690</v>
      </c>
      <c r="F313" t="s">
        <v>2691</v>
      </c>
      <c r="G313" t="s">
        <v>2692</v>
      </c>
      <c r="H313" t="s">
        <v>2693</v>
      </c>
      <c r="I313" t="s">
        <v>1018</v>
      </c>
    </row>
    <row r="314" spans="1:9" ht="11.25" customHeight="1">
      <c r="A314" s="1767" t="s">
        <v>2416</v>
      </c>
      <c r="B314" s="1767" t="s">
        <v>16</v>
      </c>
      <c r="C314" t="s">
        <v>3378</v>
      </c>
      <c r="D314" t="s">
        <v>3379</v>
      </c>
      <c r="E314" t="s">
        <v>3380</v>
      </c>
      <c r="F314" t="s">
        <v>2614</v>
      </c>
      <c r="G314" t="s">
        <v>3381</v>
      </c>
      <c r="H314" t="s">
        <v>22</v>
      </c>
      <c r="I314" t="s">
        <v>1018</v>
      </c>
    </row>
    <row r="315" spans="1:9" ht="11.25" customHeight="1">
      <c r="A315" s="1767" t="s">
        <v>2416</v>
      </c>
      <c r="B315" s="1767" t="s">
        <v>16</v>
      </c>
      <c r="C315" t="s">
        <v>3382</v>
      </c>
      <c r="D315" t="s">
        <v>3383</v>
      </c>
      <c r="E315" t="s">
        <v>3384</v>
      </c>
      <c r="F315" t="s">
        <v>3081</v>
      </c>
      <c r="G315" t="s">
        <v>3385</v>
      </c>
      <c r="H315" t="s">
        <v>22</v>
      </c>
      <c r="I315" t="s">
        <v>1018</v>
      </c>
    </row>
    <row r="316" spans="1:9" ht="11.25" customHeight="1">
      <c r="A316" s="1767" t="s">
        <v>2416</v>
      </c>
      <c r="B316" s="1767" t="s">
        <v>16</v>
      </c>
      <c r="C316" t="s">
        <v>2694</v>
      </c>
      <c r="D316" t="s">
        <v>2695</v>
      </c>
      <c r="E316" t="s">
        <v>2696</v>
      </c>
      <c r="F316" t="s">
        <v>2527</v>
      </c>
      <c r="G316" t="s">
        <v>2697</v>
      </c>
      <c r="H316" t="s">
        <v>2698</v>
      </c>
      <c r="I316" t="s">
        <v>1018</v>
      </c>
    </row>
    <row r="317" spans="1:9" ht="11.25" customHeight="1">
      <c r="A317" s="1767" t="s">
        <v>2416</v>
      </c>
      <c r="B317" s="1767" t="s">
        <v>16</v>
      </c>
      <c r="C317" t="s">
        <v>2699</v>
      </c>
      <c r="D317" t="s">
        <v>2700</v>
      </c>
      <c r="E317" t="s">
        <v>2701</v>
      </c>
      <c r="F317" t="s">
        <v>2527</v>
      </c>
      <c r="G317" t="s">
        <v>2697</v>
      </c>
      <c r="H317" t="s">
        <v>2702</v>
      </c>
      <c r="I317" t="s">
        <v>1018</v>
      </c>
    </row>
    <row r="318" spans="1:9" ht="11.25" customHeight="1">
      <c r="A318" s="1767" t="s">
        <v>2416</v>
      </c>
      <c r="B318" s="1767" t="s">
        <v>16</v>
      </c>
      <c r="C318" t="s">
        <v>2703</v>
      </c>
      <c r="D318" t="s">
        <v>2704</v>
      </c>
      <c r="E318" t="s">
        <v>2705</v>
      </c>
      <c r="F318" t="s">
        <v>2527</v>
      </c>
      <c r="G318" t="s">
        <v>2706</v>
      </c>
      <c r="H318" t="s">
        <v>2707</v>
      </c>
      <c r="I318" t="s">
        <v>1018</v>
      </c>
    </row>
    <row r="319" spans="1:9" ht="11.25" customHeight="1">
      <c r="A319" s="1767" t="s">
        <v>2416</v>
      </c>
      <c r="B319" s="1767" t="s">
        <v>16</v>
      </c>
      <c r="C319" t="s">
        <v>2708</v>
      </c>
      <c r="D319" t="s">
        <v>2709</v>
      </c>
      <c r="E319" t="s">
        <v>2710</v>
      </c>
      <c r="F319" t="s">
        <v>2527</v>
      </c>
      <c r="G319" t="s">
        <v>2711</v>
      </c>
      <c r="H319" t="s">
        <v>2712</v>
      </c>
      <c r="I319" t="s">
        <v>1018</v>
      </c>
    </row>
    <row r="320" spans="1:9" ht="11.25" customHeight="1">
      <c r="A320" s="1767" t="s">
        <v>2416</v>
      </c>
      <c r="B320" s="1767" t="s">
        <v>16</v>
      </c>
      <c r="C320" t="s">
        <v>2713</v>
      </c>
      <c r="D320" t="s">
        <v>2714</v>
      </c>
      <c r="E320" t="s">
        <v>2715</v>
      </c>
      <c r="F320" t="s">
        <v>2527</v>
      </c>
      <c r="G320" t="s">
        <v>2706</v>
      </c>
      <c r="H320" t="s">
        <v>22</v>
      </c>
      <c r="I320" t="s">
        <v>1018</v>
      </c>
    </row>
    <row r="321" spans="1:9" ht="11.25" customHeight="1">
      <c r="A321" s="1767" t="s">
        <v>2416</v>
      </c>
      <c r="B321" s="1767" t="s">
        <v>16</v>
      </c>
      <c r="C321" t="s">
        <v>2721</v>
      </c>
      <c r="D321" t="s">
        <v>2722</v>
      </c>
      <c r="E321" t="s">
        <v>2441</v>
      </c>
      <c r="F321" t="s">
        <v>2723</v>
      </c>
      <c r="G321" t="s">
        <v>2442</v>
      </c>
      <c r="H321" t="s">
        <v>22</v>
      </c>
      <c r="I321" t="s">
        <v>1018</v>
      </c>
    </row>
    <row r="322" spans="1:9" ht="11.25" customHeight="1">
      <c r="A322" s="1767" t="s">
        <v>2416</v>
      </c>
      <c r="B322" s="1767" t="s">
        <v>16</v>
      </c>
      <c r="C322" t="s">
        <v>3386</v>
      </c>
      <c r="D322" t="s">
        <v>3387</v>
      </c>
      <c r="E322" t="s">
        <v>3388</v>
      </c>
      <c r="F322" t="s">
        <v>2609</v>
      </c>
      <c r="G322" t="s">
        <v>3389</v>
      </c>
      <c r="H322" t="s">
        <v>22</v>
      </c>
      <c r="I322" t="s">
        <v>1018</v>
      </c>
    </row>
    <row r="323" spans="1:9" ht="11.25" customHeight="1">
      <c r="A323" s="1767" t="s">
        <v>2416</v>
      </c>
      <c r="B323" s="1767" t="s">
        <v>16</v>
      </c>
      <c r="C323" t="s">
        <v>3390</v>
      </c>
      <c r="D323" t="s">
        <v>3391</v>
      </c>
      <c r="E323" t="s">
        <v>3392</v>
      </c>
      <c r="F323" t="s">
        <v>2419</v>
      </c>
      <c r="G323" t="s">
        <v>22</v>
      </c>
      <c r="H323" t="s">
        <v>22</v>
      </c>
      <c r="I323" t="s">
        <v>1018</v>
      </c>
    </row>
    <row r="324" spans="1:9" ht="11.25" customHeight="1">
      <c r="A324" s="1767" t="s">
        <v>2416</v>
      </c>
      <c r="B324" s="1767" t="s">
        <v>16</v>
      </c>
      <c r="C324" t="s">
        <v>3393</v>
      </c>
      <c r="D324" t="s">
        <v>3394</v>
      </c>
      <c r="E324" t="s">
        <v>3395</v>
      </c>
      <c r="F324" t="s">
        <v>2419</v>
      </c>
      <c r="G324" t="s">
        <v>3396</v>
      </c>
      <c r="H324" t="s">
        <v>22</v>
      </c>
      <c r="I324" t="s">
        <v>1018</v>
      </c>
    </row>
    <row r="325" spans="1:9" ht="11.25" customHeight="1">
      <c r="A325" s="1767" t="s">
        <v>2416</v>
      </c>
      <c r="B325" s="1767" t="s">
        <v>16</v>
      </c>
      <c r="C325" t="s">
        <v>3397</v>
      </c>
      <c r="D325" t="s">
        <v>3398</v>
      </c>
      <c r="E325" t="s">
        <v>3399</v>
      </c>
      <c r="F325" t="s">
        <v>2471</v>
      </c>
      <c r="G325" t="s">
        <v>3400</v>
      </c>
      <c r="H325" t="s">
        <v>22</v>
      </c>
      <c r="I325" t="s">
        <v>1018</v>
      </c>
    </row>
    <row r="326" spans="1:9" ht="11.25" customHeight="1">
      <c r="A326" s="1767" t="s">
        <v>2416</v>
      </c>
      <c r="B326" s="1767" t="s">
        <v>16</v>
      </c>
      <c r="C326" t="s">
        <v>3401</v>
      </c>
      <c r="D326" t="s">
        <v>3402</v>
      </c>
      <c r="E326" t="s">
        <v>3403</v>
      </c>
      <c r="F326" t="s">
        <v>2471</v>
      </c>
      <c r="G326" t="s">
        <v>3404</v>
      </c>
      <c r="H326" t="s">
        <v>22</v>
      </c>
      <c r="I326" t="s">
        <v>1018</v>
      </c>
    </row>
    <row r="327" spans="1:9" ht="11.25" customHeight="1">
      <c r="A327" s="1767" t="s">
        <v>2416</v>
      </c>
      <c r="B327" s="1767" t="s">
        <v>16</v>
      </c>
      <c r="C327" t="s">
        <v>2736</v>
      </c>
      <c r="D327" t="s">
        <v>2737</v>
      </c>
      <c r="E327" t="s">
        <v>2738</v>
      </c>
      <c r="F327" t="s">
        <v>2609</v>
      </c>
      <c r="G327" t="s">
        <v>2739</v>
      </c>
      <c r="H327" t="s">
        <v>22</v>
      </c>
      <c r="I327" t="s">
        <v>1018</v>
      </c>
    </row>
    <row r="328" spans="1:9" ht="11.25" customHeight="1">
      <c r="A328" s="1767" t="s">
        <v>2416</v>
      </c>
      <c r="B328" s="1767" t="s">
        <v>16</v>
      </c>
      <c r="C328" t="s">
        <v>2740</v>
      </c>
      <c r="D328" t="s">
        <v>2741</v>
      </c>
      <c r="E328" t="s">
        <v>2742</v>
      </c>
      <c r="F328" t="s">
        <v>2679</v>
      </c>
      <c r="G328" t="s">
        <v>2743</v>
      </c>
      <c r="H328" t="s">
        <v>22</v>
      </c>
      <c r="I328" t="s">
        <v>1018</v>
      </c>
    </row>
    <row r="329" spans="1:9" ht="11.25" customHeight="1">
      <c r="A329" s="1767" t="s">
        <v>2416</v>
      </c>
      <c r="B329" s="1767" t="s">
        <v>16</v>
      </c>
      <c r="C329" t="s">
        <v>3405</v>
      </c>
      <c r="D329" t="s">
        <v>3406</v>
      </c>
      <c r="E329" t="s">
        <v>3407</v>
      </c>
      <c r="F329" t="s">
        <v>2755</v>
      </c>
      <c r="G329" t="s">
        <v>3408</v>
      </c>
      <c r="H329" t="s">
        <v>22</v>
      </c>
      <c r="I329" t="s">
        <v>1018</v>
      </c>
    </row>
    <row r="330" spans="1:9" ht="11.25" customHeight="1">
      <c r="A330" s="1767" t="s">
        <v>2416</v>
      </c>
      <c r="B330" s="1767" t="s">
        <v>16</v>
      </c>
      <c r="C330" t="s">
        <v>2748</v>
      </c>
      <c r="D330" t="s">
        <v>2749</v>
      </c>
      <c r="E330" t="s">
        <v>2750</v>
      </c>
      <c r="F330" t="s">
        <v>2650</v>
      </c>
      <c r="G330" t="s">
        <v>2751</v>
      </c>
      <c r="H330" t="s">
        <v>22</v>
      </c>
      <c r="I330" t="s">
        <v>1018</v>
      </c>
    </row>
    <row r="331" spans="1:9" ht="11.25" customHeight="1">
      <c r="A331" s="1767" t="s">
        <v>2416</v>
      </c>
      <c r="B331" s="1767" t="s">
        <v>16</v>
      </c>
      <c r="C331" t="s">
        <v>3409</v>
      </c>
      <c r="D331" t="s">
        <v>3410</v>
      </c>
      <c r="E331" t="s">
        <v>3411</v>
      </c>
      <c r="F331" t="s">
        <v>2419</v>
      </c>
      <c r="G331" t="s">
        <v>3412</v>
      </c>
      <c r="H331" t="s">
        <v>22</v>
      </c>
      <c r="I331" t="s">
        <v>1018</v>
      </c>
    </row>
    <row r="332" spans="1:9" ht="11.25" customHeight="1">
      <c r="A332" s="1767" t="s">
        <v>2416</v>
      </c>
      <c r="B332" s="1767" t="s">
        <v>16</v>
      </c>
      <c r="C332" t="s">
        <v>2761</v>
      </c>
      <c r="D332" t="s">
        <v>2762</v>
      </c>
      <c r="E332" t="s">
        <v>2763</v>
      </c>
      <c r="F332" t="s">
        <v>2519</v>
      </c>
      <c r="G332" t="s">
        <v>2764</v>
      </c>
      <c r="H332" t="s">
        <v>22</v>
      </c>
      <c r="I332" t="s">
        <v>1018</v>
      </c>
    </row>
    <row r="333" spans="1:9" ht="11.25" customHeight="1">
      <c r="A333" s="1767" t="s">
        <v>2416</v>
      </c>
      <c r="B333" s="1767" t="s">
        <v>16</v>
      </c>
      <c r="C333" t="s">
        <v>2765</v>
      </c>
      <c r="D333" t="s">
        <v>2762</v>
      </c>
      <c r="E333" t="s">
        <v>2766</v>
      </c>
      <c r="F333" t="s">
        <v>2767</v>
      </c>
      <c r="G333" t="s">
        <v>2768</v>
      </c>
      <c r="H333" t="s">
        <v>22</v>
      </c>
      <c r="I333" t="s">
        <v>1018</v>
      </c>
    </row>
    <row r="334" spans="1:9" ht="11.25" customHeight="1">
      <c r="A334" s="1767" t="s">
        <v>2416</v>
      </c>
      <c r="B334" s="1767" t="s">
        <v>16</v>
      </c>
      <c r="C334" t="s">
        <v>3413</v>
      </c>
      <c r="D334" t="s">
        <v>2778</v>
      </c>
      <c r="E334" t="s">
        <v>3414</v>
      </c>
      <c r="F334" t="s">
        <v>2490</v>
      </c>
      <c r="G334" t="s">
        <v>3415</v>
      </c>
      <c r="H334" t="s">
        <v>22</v>
      </c>
      <c r="I334" t="s">
        <v>1018</v>
      </c>
    </row>
    <row r="335" spans="1:9" ht="11.25" customHeight="1">
      <c r="A335" s="1767" t="s">
        <v>2416</v>
      </c>
      <c r="B335" s="1767" t="s">
        <v>16</v>
      </c>
      <c r="C335" t="s">
        <v>3416</v>
      </c>
      <c r="D335" t="s">
        <v>3417</v>
      </c>
      <c r="E335" t="s">
        <v>3418</v>
      </c>
      <c r="F335" t="s">
        <v>2755</v>
      </c>
      <c r="G335" t="s">
        <v>3419</v>
      </c>
      <c r="H335" t="s">
        <v>22</v>
      </c>
      <c r="I335" t="s">
        <v>1018</v>
      </c>
    </row>
    <row r="336" spans="1:9" ht="11.25" customHeight="1">
      <c r="A336" s="1767" t="s">
        <v>2416</v>
      </c>
      <c r="B336" s="1767" t="s">
        <v>16</v>
      </c>
      <c r="C336" t="s">
        <v>3420</v>
      </c>
      <c r="D336" t="s">
        <v>3421</v>
      </c>
      <c r="E336" t="s">
        <v>3422</v>
      </c>
      <c r="F336" t="s">
        <v>2419</v>
      </c>
      <c r="G336" t="s">
        <v>3423</v>
      </c>
      <c r="H336" t="s">
        <v>22</v>
      </c>
      <c r="I336" t="s">
        <v>1018</v>
      </c>
    </row>
    <row r="337" spans="1:9" ht="11.25" customHeight="1">
      <c r="A337" s="1767" t="s">
        <v>2416</v>
      </c>
      <c r="B337" s="1767" t="s">
        <v>16</v>
      </c>
      <c r="C337" t="s">
        <v>3424</v>
      </c>
      <c r="D337" t="s">
        <v>3425</v>
      </c>
      <c r="E337" t="s">
        <v>3426</v>
      </c>
      <c r="F337" t="s">
        <v>2419</v>
      </c>
      <c r="G337" t="s">
        <v>3427</v>
      </c>
      <c r="H337" t="s">
        <v>22</v>
      </c>
      <c r="I337" t="s">
        <v>1018</v>
      </c>
    </row>
    <row r="338" spans="1:9" ht="11.25" customHeight="1">
      <c r="A338" s="1767" t="s">
        <v>2416</v>
      </c>
      <c r="B338" s="1767" t="s">
        <v>16</v>
      </c>
      <c r="C338" t="s">
        <v>3428</v>
      </c>
      <c r="D338" t="s">
        <v>3429</v>
      </c>
      <c r="E338" t="s">
        <v>3430</v>
      </c>
      <c r="F338" t="s">
        <v>2519</v>
      </c>
      <c r="G338" t="s">
        <v>3431</v>
      </c>
      <c r="H338" t="s">
        <v>22</v>
      </c>
      <c r="I338" t="s">
        <v>1018</v>
      </c>
    </row>
    <row r="339" spans="1:9" ht="11.25" customHeight="1">
      <c r="A339" s="1767" t="s">
        <v>2416</v>
      </c>
      <c r="B339" s="1767" t="s">
        <v>16</v>
      </c>
      <c r="C339" t="s">
        <v>3432</v>
      </c>
      <c r="D339" t="s">
        <v>3433</v>
      </c>
      <c r="E339" t="s">
        <v>3434</v>
      </c>
      <c r="F339" t="s">
        <v>2893</v>
      </c>
      <c r="G339" t="s">
        <v>3435</v>
      </c>
      <c r="H339" t="s">
        <v>22</v>
      </c>
      <c r="I339" t="s">
        <v>1018</v>
      </c>
    </row>
    <row r="340" spans="1:9" ht="11.25" customHeight="1">
      <c r="A340" s="1767" t="s">
        <v>2416</v>
      </c>
      <c r="B340" s="1767" t="s">
        <v>16</v>
      </c>
      <c r="C340" t="s">
        <v>3436</v>
      </c>
      <c r="D340" t="s">
        <v>3437</v>
      </c>
      <c r="E340" t="s">
        <v>3438</v>
      </c>
      <c r="F340" t="s">
        <v>2519</v>
      </c>
      <c r="G340" t="s">
        <v>3439</v>
      </c>
      <c r="H340" t="s">
        <v>22</v>
      </c>
      <c r="I340" t="s">
        <v>1018</v>
      </c>
    </row>
    <row r="341" spans="1:9" ht="11.25" customHeight="1">
      <c r="A341" s="1767" t="s">
        <v>2416</v>
      </c>
      <c r="B341" s="1767" t="s">
        <v>16</v>
      </c>
      <c r="C341" t="s">
        <v>3440</v>
      </c>
      <c r="D341" t="s">
        <v>3437</v>
      </c>
      <c r="E341" t="s">
        <v>3441</v>
      </c>
      <c r="F341" t="s">
        <v>2519</v>
      </c>
      <c r="G341" t="s">
        <v>3442</v>
      </c>
      <c r="H341" t="s">
        <v>22</v>
      </c>
      <c r="I341" t="s">
        <v>1018</v>
      </c>
    </row>
    <row r="342" spans="1:9" ht="11.25" customHeight="1">
      <c r="A342" s="1767" t="s">
        <v>2416</v>
      </c>
      <c r="B342" s="1767" t="s">
        <v>16</v>
      </c>
      <c r="C342" t="s">
        <v>3443</v>
      </c>
      <c r="D342" t="s">
        <v>3444</v>
      </c>
      <c r="E342" t="s">
        <v>3445</v>
      </c>
      <c r="F342" t="s">
        <v>2755</v>
      </c>
      <c r="G342" t="s">
        <v>3446</v>
      </c>
      <c r="H342" t="s">
        <v>22</v>
      </c>
      <c r="I342" t="s">
        <v>1018</v>
      </c>
    </row>
    <row r="343" spans="1:9" ht="11.25" customHeight="1">
      <c r="A343" s="1767" t="s">
        <v>2416</v>
      </c>
      <c r="B343" s="1767" t="s">
        <v>16</v>
      </c>
      <c r="C343" t="s">
        <v>2795</v>
      </c>
      <c r="D343" t="s">
        <v>2796</v>
      </c>
      <c r="E343" t="s">
        <v>2797</v>
      </c>
      <c r="F343" t="s">
        <v>2519</v>
      </c>
      <c r="G343" t="s">
        <v>22</v>
      </c>
      <c r="H343" t="s">
        <v>22</v>
      </c>
      <c r="I343" t="s">
        <v>1018</v>
      </c>
    </row>
    <row r="344" spans="1:9" ht="11.25" customHeight="1">
      <c r="A344" s="1767" t="s">
        <v>2416</v>
      </c>
      <c r="B344" s="1767" t="s">
        <v>16</v>
      </c>
      <c r="C344" t="s">
        <v>3447</v>
      </c>
      <c r="D344" t="s">
        <v>3448</v>
      </c>
      <c r="E344" t="s">
        <v>3449</v>
      </c>
      <c r="F344" t="s">
        <v>2423</v>
      </c>
      <c r="G344" t="s">
        <v>3450</v>
      </c>
      <c r="H344" t="s">
        <v>22</v>
      </c>
      <c r="I344" t="s">
        <v>1018</v>
      </c>
    </row>
    <row r="345" spans="1:9" ht="11.25" customHeight="1">
      <c r="A345" s="1767" t="s">
        <v>2416</v>
      </c>
      <c r="B345" s="1767" t="s">
        <v>16</v>
      </c>
      <c r="C345" t="s">
        <v>2798</v>
      </c>
      <c r="D345" t="s">
        <v>2799</v>
      </c>
      <c r="E345" t="s">
        <v>2800</v>
      </c>
      <c r="F345" t="s">
        <v>2650</v>
      </c>
      <c r="G345" t="s">
        <v>2801</v>
      </c>
      <c r="H345" t="s">
        <v>22</v>
      </c>
      <c r="I345" t="s">
        <v>1018</v>
      </c>
    </row>
    <row r="346" spans="1:9" ht="11.25" customHeight="1">
      <c r="A346" s="1767" t="s">
        <v>2416</v>
      </c>
      <c r="B346" s="1767" t="s">
        <v>16</v>
      </c>
      <c r="C346" t="s">
        <v>2802</v>
      </c>
      <c r="D346" t="s">
        <v>2803</v>
      </c>
      <c r="E346" t="s">
        <v>2804</v>
      </c>
      <c r="F346" t="s">
        <v>2419</v>
      </c>
      <c r="G346" t="s">
        <v>2805</v>
      </c>
      <c r="H346" t="s">
        <v>22</v>
      </c>
      <c r="I346" t="s">
        <v>1018</v>
      </c>
    </row>
    <row r="347" spans="1:9" ht="11.25" customHeight="1">
      <c r="A347" s="1767" t="s">
        <v>2416</v>
      </c>
      <c r="B347" s="1767" t="s">
        <v>16</v>
      </c>
      <c r="C347" t="s">
        <v>2806</v>
      </c>
      <c r="D347" t="s">
        <v>2807</v>
      </c>
      <c r="E347" t="s">
        <v>2808</v>
      </c>
      <c r="F347" t="s">
        <v>2809</v>
      </c>
      <c r="G347" t="s">
        <v>2810</v>
      </c>
      <c r="H347" t="s">
        <v>22</v>
      </c>
      <c r="I347" t="s">
        <v>1018</v>
      </c>
    </row>
    <row r="348" spans="1:9" ht="11.25" customHeight="1">
      <c r="A348" s="1767" t="s">
        <v>2416</v>
      </c>
      <c r="B348" s="1767" t="s">
        <v>16</v>
      </c>
      <c r="C348" t="s">
        <v>2811</v>
      </c>
      <c r="D348" t="s">
        <v>2812</v>
      </c>
      <c r="E348" t="s">
        <v>2808</v>
      </c>
      <c r="F348" t="s">
        <v>2813</v>
      </c>
      <c r="G348" t="s">
        <v>2810</v>
      </c>
      <c r="H348" t="s">
        <v>22</v>
      </c>
      <c r="I348" t="s">
        <v>1018</v>
      </c>
    </row>
    <row r="349" spans="1:9" ht="11.25" customHeight="1">
      <c r="A349" s="1767" t="s">
        <v>2416</v>
      </c>
      <c r="B349" s="1767" t="s">
        <v>16</v>
      </c>
      <c r="C349" t="s">
        <v>3451</v>
      </c>
      <c r="D349" t="s">
        <v>3452</v>
      </c>
      <c r="E349" t="s">
        <v>3453</v>
      </c>
      <c r="F349" t="s">
        <v>2490</v>
      </c>
      <c r="G349" t="s">
        <v>3454</v>
      </c>
      <c r="H349" t="s">
        <v>22</v>
      </c>
      <c r="I349" t="s">
        <v>1018</v>
      </c>
    </row>
    <row r="350" spans="1:9" ht="11.25" customHeight="1">
      <c r="A350" s="1767" t="s">
        <v>2416</v>
      </c>
      <c r="B350" s="1767" t="s">
        <v>16</v>
      </c>
      <c r="C350" t="s">
        <v>3455</v>
      </c>
      <c r="D350" t="s">
        <v>3456</v>
      </c>
      <c r="E350" t="s">
        <v>3457</v>
      </c>
      <c r="F350" t="s">
        <v>2618</v>
      </c>
      <c r="G350" t="s">
        <v>3458</v>
      </c>
      <c r="H350" t="s">
        <v>22</v>
      </c>
      <c r="I350" t="s">
        <v>1018</v>
      </c>
    </row>
    <row r="351" spans="1:9" ht="11.25" customHeight="1">
      <c r="A351" s="1767" t="s">
        <v>2416</v>
      </c>
      <c r="B351" s="1767" t="s">
        <v>16</v>
      </c>
      <c r="C351" t="s">
        <v>3340</v>
      </c>
      <c r="D351" t="s">
        <v>3341</v>
      </c>
      <c r="E351" t="s">
        <v>3342</v>
      </c>
      <c r="F351" t="s">
        <v>2419</v>
      </c>
      <c r="G351" t="s">
        <v>3343</v>
      </c>
      <c r="H351" t="s">
        <v>22</v>
      </c>
      <c r="I351" t="s">
        <v>1018</v>
      </c>
    </row>
    <row r="352" spans="1:9" ht="11.25" customHeight="1">
      <c r="A352" s="1767" t="s">
        <v>2416</v>
      </c>
      <c r="B352" s="1767" t="s">
        <v>16</v>
      </c>
      <c r="C352" t="s">
        <v>2814</v>
      </c>
      <c r="D352" t="s">
        <v>2815</v>
      </c>
      <c r="E352" t="s">
        <v>2816</v>
      </c>
      <c r="F352" t="s">
        <v>2419</v>
      </c>
      <c r="G352" t="s">
        <v>2817</v>
      </c>
      <c r="H352" t="s">
        <v>22</v>
      </c>
      <c r="I352" t="s">
        <v>1018</v>
      </c>
    </row>
    <row r="353" spans="1:9" ht="11.25" customHeight="1">
      <c r="A353" s="1767" t="s">
        <v>2416</v>
      </c>
      <c r="B353" s="1767" t="s">
        <v>16</v>
      </c>
      <c r="C353" t="s">
        <v>3459</v>
      </c>
      <c r="D353" t="s">
        <v>3460</v>
      </c>
      <c r="E353" t="s">
        <v>3461</v>
      </c>
      <c r="F353" t="s">
        <v>2596</v>
      </c>
      <c r="G353" t="s">
        <v>3462</v>
      </c>
      <c r="H353" t="s">
        <v>22</v>
      </c>
      <c r="I353" t="s">
        <v>1018</v>
      </c>
    </row>
    <row r="354" spans="1:9" ht="11.25" customHeight="1">
      <c r="A354" s="1767" t="s">
        <v>2416</v>
      </c>
      <c r="B354" s="1767" t="s">
        <v>16</v>
      </c>
      <c r="C354" t="s">
        <v>2818</v>
      </c>
      <c r="D354" t="s">
        <v>2819</v>
      </c>
      <c r="E354" t="s">
        <v>2820</v>
      </c>
      <c r="F354" t="s">
        <v>2419</v>
      </c>
      <c r="G354" t="s">
        <v>2821</v>
      </c>
      <c r="H354" t="s">
        <v>22</v>
      </c>
      <c r="I354" t="s">
        <v>1018</v>
      </c>
    </row>
    <row r="355" spans="1:9" ht="11.25" customHeight="1">
      <c r="A355" s="1767" t="s">
        <v>2416</v>
      </c>
      <c r="B355" s="1767" t="s">
        <v>16</v>
      </c>
      <c r="C355" t="s">
        <v>2822</v>
      </c>
      <c r="D355" t="s">
        <v>2823</v>
      </c>
      <c r="E355" t="s">
        <v>2824</v>
      </c>
      <c r="F355" t="s">
        <v>2691</v>
      </c>
      <c r="G355" t="s">
        <v>2825</v>
      </c>
      <c r="H355" t="s">
        <v>22</v>
      </c>
      <c r="I355" t="s">
        <v>1018</v>
      </c>
    </row>
    <row r="356" spans="1:9" ht="11.25" customHeight="1">
      <c r="A356" s="1767" t="s">
        <v>2416</v>
      </c>
      <c r="B356" s="1767" t="s">
        <v>16</v>
      </c>
      <c r="C356" t="s">
        <v>2830</v>
      </c>
      <c r="D356" t="s">
        <v>2831</v>
      </c>
      <c r="E356" t="s">
        <v>2832</v>
      </c>
      <c r="F356" t="s">
        <v>2650</v>
      </c>
      <c r="G356" t="s">
        <v>2833</v>
      </c>
      <c r="H356" t="s">
        <v>22</v>
      </c>
      <c r="I356" t="s">
        <v>1018</v>
      </c>
    </row>
    <row r="357" spans="1:9" ht="11.25" customHeight="1">
      <c r="A357" s="1767" t="s">
        <v>2416</v>
      </c>
      <c r="B357" s="1767" t="s">
        <v>16</v>
      </c>
      <c r="C357" t="s">
        <v>3463</v>
      </c>
      <c r="D357" t="s">
        <v>3464</v>
      </c>
      <c r="E357" t="s">
        <v>3465</v>
      </c>
      <c r="F357" t="s">
        <v>2618</v>
      </c>
      <c r="G357" t="s">
        <v>3466</v>
      </c>
      <c r="H357" t="s">
        <v>22</v>
      </c>
      <c r="I357" t="s">
        <v>1018</v>
      </c>
    </row>
    <row r="358" spans="1:9" ht="11.25" customHeight="1">
      <c r="A358" s="1767" t="s">
        <v>2416</v>
      </c>
      <c r="B358" s="1767" t="s">
        <v>16</v>
      </c>
      <c r="C358" t="s">
        <v>3467</v>
      </c>
      <c r="D358" t="s">
        <v>3468</v>
      </c>
      <c r="E358" t="s">
        <v>3469</v>
      </c>
      <c r="F358" t="s">
        <v>2423</v>
      </c>
      <c r="G358" t="s">
        <v>3470</v>
      </c>
      <c r="H358" t="s">
        <v>22</v>
      </c>
      <c r="I358" t="s">
        <v>1018</v>
      </c>
    </row>
    <row r="359" spans="1:9" ht="11.25" customHeight="1">
      <c r="A359" s="1767" t="s">
        <v>2416</v>
      </c>
      <c r="B359" s="1767" t="s">
        <v>16</v>
      </c>
      <c r="C359" t="s">
        <v>3471</v>
      </c>
      <c r="D359" t="s">
        <v>3472</v>
      </c>
      <c r="E359" t="s">
        <v>3473</v>
      </c>
      <c r="F359" t="s">
        <v>2618</v>
      </c>
      <c r="G359" t="s">
        <v>3474</v>
      </c>
      <c r="H359" t="s">
        <v>22</v>
      </c>
      <c r="I359" t="s">
        <v>1018</v>
      </c>
    </row>
    <row r="360" spans="1:9" ht="11.25" customHeight="1">
      <c r="A360" s="1767" t="s">
        <v>2416</v>
      </c>
      <c r="B360" s="1767" t="s">
        <v>16</v>
      </c>
      <c r="C360" t="s">
        <v>3475</v>
      </c>
      <c r="D360" t="s">
        <v>3476</v>
      </c>
      <c r="E360" t="s">
        <v>3477</v>
      </c>
      <c r="F360" t="s">
        <v>2780</v>
      </c>
      <c r="G360" t="s">
        <v>3478</v>
      </c>
      <c r="H360" t="s">
        <v>22</v>
      </c>
      <c r="I360" t="s">
        <v>1018</v>
      </c>
    </row>
    <row r="361" spans="1:9" ht="11.25" customHeight="1">
      <c r="A361" s="1767" t="s">
        <v>2416</v>
      </c>
      <c r="B361" s="1767" t="s">
        <v>16</v>
      </c>
      <c r="C361" t="s">
        <v>2854</v>
      </c>
      <c r="D361" t="s">
        <v>2855</v>
      </c>
      <c r="E361" t="s">
        <v>2856</v>
      </c>
      <c r="F361" t="s">
        <v>2614</v>
      </c>
      <c r="G361" t="s">
        <v>2857</v>
      </c>
      <c r="H361" t="s">
        <v>22</v>
      </c>
      <c r="I361" t="s">
        <v>1018</v>
      </c>
    </row>
    <row r="362" spans="1:9" ht="11.25" customHeight="1">
      <c r="A362" s="1767" t="s">
        <v>2416</v>
      </c>
      <c r="B362" s="1767" t="s">
        <v>16</v>
      </c>
      <c r="C362" t="s">
        <v>3479</v>
      </c>
      <c r="D362" t="s">
        <v>3480</v>
      </c>
      <c r="E362" t="s">
        <v>3481</v>
      </c>
      <c r="F362" t="s">
        <v>2527</v>
      </c>
      <c r="G362" t="s">
        <v>3482</v>
      </c>
      <c r="H362" t="s">
        <v>22</v>
      </c>
      <c r="I362" t="s">
        <v>1018</v>
      </c>
    </row>
    <row r="363" spans="1:9" ht="11.25" customHeight="1">
      <c r="A363" s="1767" t="s">
        <v>2416</v>
      </c>
      <c r="B363" s="1767" t="s">
        <v>16</v>
      </c>
      <c r="C363" t="s">
        <v>3483</v>
      </c>
      <c r="D363" t="s">
        <v>3484</v>
      </c>
      <c r="E363" t="s">
        <v>3485</v>
      </c>
      <c r="F363" t="s">
        <v>2614</v>
      </c>
      <c r="G363" t="s">
        <v>3486</v>
      </c>
      <c r="H363" t="s">
        <v>22</v>
      </c>
      <c r="I363" t="s">
        <v>1018</v>
      </c>
    </row>
    <row r="364" spans="1:9" ht="11.25" customHeight="1">
      <c r="A364" s="1767" t="s">
        <v>2416</v>
      </c>
      <c r="B364" s="1767" t="s">
        <v>16</v>
      </c>
      <c r="C364" t="s">
        <v>3487</v>
      </c>
      <c r="D364" t="s">
        <v>3488</v>
      </c>
      <c r="E364" t="s">
        <v>3489</v>
      </c>
      <c r="F364" t="s">
        <v>3490</v>
      </c>
      <c r="G364" t="s">
        <v>2581</v>
      </c>
      <c r="H364" t="s">
        <v>22</v>
      </c>
      <c r="I364" t="s">
        <v>1018</v>
      </c>
    </row>
    <row r="365" spans="1:9" ht="11.25" customHeight="1">
      <c r="A365" s="1767" t="s">
        <v>2416</v>
      </c>
      <c r="B365" s="1767" t="s">
        <v>16</v>
      </c>
      <c r="C365" t="s">
        <v>3491</v>
      </c>
      <c r="D365" t="s">
        <v>3492</v>
      </c>
      <c r="E365" t="s">
        <v>3493</v>
      </c>
      <c r="F365" t="s">
        <v>2527</v>
      </c>
      <c r="G365" t="s">
        <v>3494</v>
      </c>
      <c r="H365" t="s">
        <v>22</v>
      </c>
      <c r="I365" t="s">
        <v>1018</v>
      </c>
    </row>
    <row r="366" spans="1:9" ht="11.25" customHeight="1">
      <c r="A366" s="1767" t="s">
        <v>2416</v>
      </c>
      <c r="B366" s="1767" t="s">
        <v>16</v>
      </c>
      <c r="C366" t="s">
        <v>2866</v>
      </c>
      <c r="D366" t="s">
        <v>2867</v>
      </c>
      <c r="E366" t="s">
        <v>2868</v>
      </c>
      <c r="F366" t="s">
        <v>2419</v>
      </c>
      <c r="G366" t="s">
        <v>2869</v>
      </c>
      <c r="H366" t="s">
        <v>22</v>
      </c>
      <c r="I366" t="s">
        <v>1018</v>
      </c>
    </row>
    <row r="367" spans="1:9" ht="11.25" customHeight="1">
      <c r="A367" s="1767" t="s">
        <v>2416</v>
      </c>
      <c r="B367" s="1767" t="s">
        <v>16</v>
      </c>
      <c r="C367" t="s">
        <v>3495</v>
      </c>
      <c r="D367" t="s">
        <v>3496</v>
      </c>
      <c r="E367" t="s">
        <v>3497</v>
      </c>
      <c r="F367" t="s">
        <v>2471</v>
      </c>
      <c r="G367" t="s">
        <v>3400</v>
      </c>
      <c r="H367" t="s">
        <v>22</v>
      </c>
      <c r="I367" t="s">
        <v>1018</v>
      </c>
    </row>
    <row r="368" spans="1:9" ht="11.25" customHeight="1">
      <c r="A368" s="1767" t="s">
        <v>2416</v>
      </c>
      <c r="B368" s="1767" t="s">
        <v>16</v>
      </c>
      <c r="C368" t="s">
        <v>2894</v>
      </c>
      <c r="D368" t="s">
        <v>2895</v>
      </c>
      <c r="E368" t="s">
        <v>2896</v>
      </c>
      <c r="F368" t="s">
        <v>2767</v>
      </c>
      <c r="G368" t="s">
        <v>2897</v>
      </c>
      <c r="H368" t="s">
        <v>22</v>
      </c>
      <c r="I368" t="s">
        <v>1018</v>
      </c>
    </row>
    <row r="369" spans="1:9" ht="11.25" customHeight="1">
      <c r="A369" s="1767" t="s">
        <v>2416</v>
      </c>
      <c r="B369" s="1767" t="s">
        <v>16</v>
      </c>
      <c r="C369" t="s">
        <v>3498</v>
      </c>
      <c r="D369" t="s">
        <v>3499</v>
      </c>
      <c r="E369" t="s">
        <v>3500</v>
      </c>
      <c r="F369" t="s">
        <v>2423</v>
      </c>
      <c r="G369" t="s">
        <v>3501</v>
      </c>
      <c r="H369" t="s">
        <v>22</v>
      </c>
      <c r="I369" t="s">
        <v>1018</v>
      </c>
    </row>
    <row r="370" spans="1:9" ht="11.25" customHeight="1">
      <c r="A370" s="1767" t="s">
        <v>2416</v>
      </c>
      <c r="B370" s="1767" t="s">
        <v>16</v>
      </c>
      <c r="C370" t="s">
        <v>2898</v>
      </c>
      <c r="D370" t="s">
        <v>2899</v>
      </c>
      <c r="E370" t="s">
        <v>2900</v>
      </c>
      <c r="F370" t="s">
        <v>2596</v>
      </c>
      <c r="G370" t="s">
        <v>2901</v>
      </c>
      <c r="H370" t="s">
        <v>22</v>
      </c>
      <c r="I370" t="s">
        <v>1018</v>
      </c>
    </row>
    <row r="371" spans="1:9" ht="11.25" customHeight="1">
      <c r="A371" s="1767" t="s">
        <v>2416</v>
      </c>
      <c r="B371" s="1767" t="s">
        <v>16</v>
      </c>
      <c r="C371" t="s">
        <v>2910</v>
      </c>
      <c r="D371" t="s">
        <v>2911</v>
      </c>
      <c r="E371" t="s">
        <v>2912</v>
      </c>
      <c r="F371" t="s">
        <v>2691</v>
      </c>
      <c r="G371" t="s">
        <v>2913</v>
      </c>
      <c r="H371" t="s">
        <v>22</v>
      </c>
      <c r="I371" t="s">
        <v>1018</v>
      </c>
    </row>
    <row r="372" spans="1:9" ht="11.25" customHeight="1">
      <c r="A372" s="1767" t="s">
        <v>2416</v>
      </c>
      <c r="B372" s="1767" t="s">
        <v>16</v>
      </c>
      <c r="C372" t="s">
        <v>3502</v>
      </c>
      <c r="D372" t="s">
        <v>3503</v>
      </c>
      <c r="E372" t="s">
        <v>3504</v>
      </c>
      <c r="F372" t="s">
        <v>2423</v>
      </c>
      <c r="G372" t="s">
        <v>3505</v>
      </c>
      <c r="H372" t="s">
        <v>22</v>
      </c>
      <c r="I372" t="s">
        <v>1018</v>
      </c>
    </row>
    <row r="373" spans="1:9" ht="11.25" customHeight="1">
      <c r="A373" s="1767" t="s">
        <v>2416</v>
      </c>
      <c r="B373" s="1767" t="s">
        <v>16</v>
      </c>
      <c r="C373" t="s">
        <v>3506</v>
      </c>
      <c r="D373" t="s">
        <v>3507</v>
      </c>
      <c r="E373" t="s">
        <v>3508</v>
      </c>
      <c r="F373" t="s">
        <v>2618</v>
      </c>
      <c r="G373" t="s">
        <v>22</v>
      </c>
      <c r="H373" t="s">
        <v>22</v>
      </c>
      <c r="I373" t="s">
        <v>1018</v>
      </c>
    </row>
    <row r="374" spans="1:9" ht="11.25" customHeight="1">
      <c r="A374" s="1767" t="s">
        <v>2416</v>
      </c>
      <c r="B374" s="1767" t="s">
        <v>16</v>
      </c>
      <c r="C374" t="s">
        <v>3509</v>
      </c>
      <c r="D374" t="s">
        <v>3510</v>
      </c>
      <c r="E374" t="s">
        <v>3511</v>
      </c>
      <c r="F374" t="s">
        <v>2423</v>
      </c>
      <c r="G374" t="s">
        <v>3512</v>
      </c>
      <c r="H374" t="s">
        <v>22</v>
      </c>
      <c r="I374" t="s">
        <v>1018</v>
      </c>
    </row>
    <row r="375" spans="1:9" ht="11.25" customHeight="1">
      <c r="A375" s="1767" t="s">
        <v>2416</v>
      </c>
      <c r="B375" s="1767" t="s">
        <v>16</v>
      </c>
      <c r="C375" t="s">
        <v>3513</v>
      </c>
      <c r="D375" t="s">
        <v>3514</v>
      </c>
      <c r="E375" t="s">
        <v>3515</v>
      </c>
      <c r="F375" t="s">
        <v>2481</v>
      </c>
      <c r="G375" t="s">
        <v>3516</v>
      </c>
      <c r="H375" t="s">
        <v>22</v>
      </c>
      <c r="I375" t="s">
        <v>1018</v>
      </c>
    </row>
    <row r="376" spans="1:9" ht="11.25" customHeight="1">
      <c r="A376" s="1767" t="s">
        <v>2416</v>
      </c>
      <c r="B376" s="1767" t="s">
        <v>16</v>
      </c>
      <c r="C376" t="s">
        <v>3517</v>
      </c>
      <c r="D376" t="s">
        <v>3518</v>
      </c>
      <c r="E376" t="s">
        <v>3519</v>
      </c>
      <c r="F376" t="s">
        <v>2419</v>
      </c>
      <c r="G376" t="s">
        <v>3520</v>
      </c>
      <c r="H376" t="s">
        <v>22</v>
      </c>
      <c r="I376" t="s">
        <v>1018</v>
      </c>
    </row>
    <row r="377" spans="1:9" ht="11.25" customHeight="1">
      <c r="A377" s="1767" t="s">
        <v>2416</v>
      </c>
      <c r="B377" s="1767" t="s">
        <v>16</v>
      </c>
      <c r="C377" t="s">
        <v>3521</v>
      </c>
      <c r="D377" t="s">
        <v>3522</v>
      </c>
      <c r="E377" t="s">
        <v>3523</v>
      </c>
      <c r="F377" t="s">
        <v>2419</v>
      </c>
      <c r="G377" t="s">
        <v>3524</v>
      </c>
      <c r="H377" t="s">
        <v>22</v>
      </c>
      <c r="I377" t="s">
        <v>1018</v>
      </c>
    </row>
    <row r="378" spans="1:9" ht="11.25" customHeight="1">
      <c r="A378" s="1767" t="s">
        <v>2416</v>
      </c>
      <c r="B378" s="1767" t="s">
        <v>16</v>
      </c>
      <c r="C378" t="s">
        <v>3525</v>
      </c>
      <c r="D378" t="s">
        <v>3522</v>
      </c>
      <c r="E378" t="s">
        <v>3523</v>
      </c>
      <c r="F378" t="s">
        <v>2691</v>
      </c>
      <c r="G378" t="s">
        <v>3524</v>
      </c>
      <c r="H378" t="s">
        <v>22</v>
      </c>
      <c r="I378" t="s">
        <v>1018</v>
      </c>
    </row>
    <row r="379" spans="1:9" ht="11.25" customHeight="1">
      <c r="A379" s="1767" t="s">
        <v>2416</v>
      </c>
      <c r="B379" s="1767" t="s">
        <v>16</v>
      </c>
      <c r="C379" t="s">
        <v>3526</v>
      </c>
      <c r="D379" t="s">
        <v>3527</v>
      </c>
      <c r="E379" t="s">
        <v>3528</v>
      </c>
      <c r="F379" t="s">
        <v>2419</v>
      </c>
      <c r="G379" t="s">
        <v>3529</v>
      </c>
      <c r="H379" t="s">
        <v>22</v>
      </c>
      <c r="I379" t="s">
        <v>1018</v>
      </c>
    </row>
    <row r="380" spans="1:9" ht="11.25" customHeight="1">
      <c r="A380" s="1767" t="s">
        <v>2416</v>
      </c>
      <c r="B380" s="1767" t="s">
        <v>16</v>
      </c>
      <c r="C380" t="s">
        <v>3530</v>
      </c>
      <c r="D380" t="s">
        <v>3531</v>
      </c>
      <c r="E380" t="s">
        <v>3532</v>
      </c>
      <c r="F380" t="s">
        <v>2618</v>
      </c>
      <c r="G380" t="s">
        <v>3533</v>
      </c>
      <c r="H380" t="s">
        <v>22</v>
      </c>
      <c r="I380" t="s">
        <v>1018</v>
      </c>
    </row>
    <row r="381" spans="1:9" ht="11.25" customHeight="1">
      <c r="A381" s="1767" t="s">
        <v>2416</v>
      </c>
      <c r="B381" s="1767" t="s">
        <v>16</v>
      </c>
      <c r="C381" t="s">
        <v>2930</v>
      </c>
      <c r="D381" t="s">
        <v>2931</v>
      </c>
      <c r="E381" t="s">
        <v>2932</v>
      </c>
      <c r="F381" t="s">
        <v>2767</v>
      </c>
      <c r="G381" t="s">
        <v>2933</v>
      </c>
      <c r="H381" t="s">
        <v>22</v>
      </c>
      <c r="I381" t="s">
        <v>1018</v>
      </c>
    </row>
    <row r="382" spans="1:9" ht="11.25" customHeight="1">
      <c r="A382" s="1767" t="s">
        <v>2416</v>
      </c>
      <c r="B382" s="1767" t="s">
        <v>16</v>
      </c>
      <c r="C382" t="s">
        <v>3534</v>
      </c>
      <c r="D382" t="s">
        <v>3535</v>
      </c>
      <c r="E382" t="s">
        <v>3536</v>
      </c>
      <c r="F382" t="s">
        <v>2419</v>
      </c>
      <c r="G382" t="s">
        <v>3537</v>
      </c>
      <c r="H382" t="s">
        <v>22</v>
      </c>
      <c r="I382" t="s">
        <v>1018</v>
      </c>
    </row>
    <row r="383" spans="1:9" ht="11.25" customHeight="1">
      <c r="A383" s="1767" t="s">
        <v>2416</v>
      </c>
      <c r="B383" s="1767" t="s">
        <v>16</v>
      </c>
      <c r="C383" t="s">
        <v>2934</v>
      </c>
      <c r="D383" t="s">
        <v>2935</v>
      </c>
      <c r="E383" t="s">
        <v>2936</v>
      </c>
      <c r="F383" t="s">
        <v>2691</v>
      </c>
      <c r="G383" t="s">
        <v>2937</v>
      </c>
      <c r="H383" t="s">
        <v>22</v>
      </c>
      <c r="I383" t="s">
        <v>1018</v>
      </c>
    </row>
    <row r="384" spans="1:9" ht="11.25" customHeight="1">
      <c r="A384" s="1767" t="s">
        <v>2416</v>
      </c>
      <c r="B384" s="1767" t="s">
        <v>16</v>
      </c>
      <c r="C384" t="s">
        <v>3538</v>
      </c>
      <c r="D384" t="s">
        <v>3539</v>
      </c>
      <c r="E384" t="s">
        <v>3540</v>
      </c>
      <c r="F384" t="s">
        <v>2609</v>
      </c>
      <c r="G384" t="s">
        <v>3541</v>
      </c>
      <c r="H384" t="s">
        <v>22</v>
      </c>
      <c r="I384" t="s">
        <v>1018</v>
      </c>
    </row>
    <row r="385" spans="1:9" ht="11.25" customHeight="1">
      <c r="A385" s="1767" t="s">
        <v>2416</v>
      </c>
      <c r="B385" s="1767" t="s">
        <v>16</v>
      </c>
      <c r="C385" t="s">
        <v>3542</v>
      </c>
      <c r="D385" t="s">
        <v>3543</v>
      </c>
      <c r="E385" t="s">
        <v>3544</v>
      </c>
      <c r="F385" t="s">
        <v>2419</v>
      </c>
      <c r="G385" t="s">
        <v>3545</v>
      </c>
      <c r="H385" t="s">
        <v>22</v>
      </c>
      <c r="I385" t="s">
        <v>1018</v>
      </c>
    </row>
    <row r="386" spans="1:9" ht="11.25" customHeight="1">
      <c r="A386" s="1767" t="s">
        <v>2416</v>
      </c>
      <c r="B386" s="1767" t="s">
        <v>16</v>
      </c>
      <c r="C386" t="s">
        <v>3546</v>
      </c>
      <c r="D386" t="s">
        <v>3547</v>
      </c>
      <c r="E386" t="s">
        <v>3548</v>
      </c>
      <c r="F386" t="s">
        <v>2767</v>
      </c>
      <c r="G386" t="s">
        <v>3549</v>
      </c>
      <c r="H386" t="s">
        <v>22</v>
      </c>
      <c r="I386" t="s">
        <v>1018</v>
      </c>
    </row>
    <row r="387" spans="1:9" ht="11.25" customHeight="1">
      <c r="A387" s="1767" t="s">
        <v>2416</v>
      </c>
      <c r="B387" s="1767" t="s">
        <v>16</v>
      </c>
      <c r="C387" t="s">
        <v>3550</v>
      </c>
      <c r="D387" t="s">
        <v>3551</v>
      </c>
      <c r="E387" t="s">
        <v>3552</v>
      </c>
      <c r="F387" t="s">
        <v>2419</v>
      </c>
      <c r="G387" t="s">
        <v>3553</v>
      </c>
      <c r="H387" t="s">
        <v>22</v>
      </c>
      <c r="I387" t="s">
        <v>1018</v>
      </c>
    </row>
    <row r="388" spans="1:9" ht="11.25" customHeight="1">
      <c r="A388" s="1767" t="s">
        <v>2416</v>
      </c>
      <c r="B388" s="1767" t="s">
        <v>16</v>
      </c>
      <c r="C388" t="s">
        <v>3554</v>
      </c>
      <c r="D388" t="s">
        <v>3555</v>
      </c>
      <c r="E388" t="s">
        <v>3556</v>
      </c>
      <c r="F388" t="s">
        <v>2419</v>
      </c>
      <c r="G388" t="s">
        <v>3557</v>
      </c>
      <c r="H388" t="s">
        <v>22</v>
      </c>
      <c r="I388" t="s">
        <v>1018</v>
      </c>
    </row>
    <row r="389" spans="1:9" ht="11.25" customHeight="1">
      <c r="A389" s="1767" t="s">
        <v>2416</v>
      </c>
      <c r="B389" s="1767" t="s">
        <v>16</v>
      </c>
      <c r="C389" t="s">
        <v>2946</v>
      </c>
      <c r="D389" t="s">
        <v>2947</v>
      </c>
      <c r="E389" t="s">
        <v>2948</v>
      </c>
      <c r="F389" t="s">
        <v>2423</v>
      </c>
      <c r="G389" t="s">
        <v>2949</v>
      </c>
      <c r="H389" t="s">
        <v>22</v>
      </c>
      <c r="I389" t="s">
        <v>1018</v>
      </c>
    </row>
    <row r="390" spans="1:9" ht="11.25" customHeight="1">
      <c r="A390" s="1767" t="s">
        <v>2416</v>
      </c>
      <c r="B390" s="1767" t="s">
        <v>16</v>
      </c>
      <c r="C390" t="s">
        <v>2950</v>
      </c>
      <c r="D390" t="s">
        <v>2951</v>
      </c>
      <c r="E390" t="s">
        <v>2952</v>
      </c>
      <c r="F390" t="s">
        <v>2419</v>
      </c>
      <c r="G390" t="s">
        <v>2953</v>
      </c>
      <c r="H390" t="s">
        <v>22</v>
      </c>
      <c r="I390" t="s">
        <v>1018</v>
      </c>
    </row>
    <row r="391" spans="1:9" ht="11.25" customHeight="1">
      <c r="A391" s="1767" t="s">
        <v>2416</v>
      </c>
      <c r="B391" s="1767" t="s">
        <v>16</v>
      </c>
      <c r="C391" t="s">
        <v>3558</v>
      </c>
      <c r="D391" t="s">
        <v>3559</v>
      </c>
      <c r="E391" t="s">
        <v>3560</v>
      </c>
      <c r="F391" t="s">
        <v>2419</v>
      </c>
      <c r="G391" t="s">
        <v>3561</v>
      </c>
      <c r="H391" t="s">
        <v>22</v>
      </c>
      <c r="I391" t="s">
        <v>1018</v>
      </c>
    </row>
    <row r="392" spans="1:9" ht="11.25" customHeight="1">
      <c r="A392" s="1767" t="s">
        <v>2416</v>
      </c>
      <c r="B392" s="1767" t="s">
        <v>16</v>
      </c>
      <c r="C392" t="s">
        <v>3562</v>
      </c>
      <c r="D392" t="s">
        <v>3563</v>
      </c>
      <c r="E392" t="s">
        <v>3564</v>
      </c>
      <c r="F392" t="s">
        <v>2618</v>
      </c>
      <c r="G392" t="s">
        <v>3565</v>
      </c>
      <c r="H392" t="s">
        <v>22</v>
      </c>
      <c r="I392" t="s">
        <v>1018</v>
      </c>
    </row>
    <row r="393" spans="1:9" ht="11.25" customHeight="1">
      <c r="A393" s="1767" t="s">
        <v>2416</v>
      </c>
      <c r="B393" s="1767" t="s">
        <v>16</v>
      </c>
      <c r="C393" t="s">
        <v>3566</v>
      </c>
      <c r="D393" t="s">
        <v>3567</v>
      </c>
      <c r="E393" t="s">
        <v>3568</v>
      </c>
      <c r="F393" t="s">
        <v>3569</v>
      </c>
      <c r="G393" t="s">
        <v>3570</v>
      </c>
      <c r="H393" t="s">
        <v>22</v>
      </c>
      <c r="I393" t="s">
        <v>1018</v>
      </c>
    </row>
    <row r="394" spans="1:9" ht="11.25" customHeight="1">
      <c r="A394" s="1767" t="s">
        <v>2416</v>
      </c>
      <c r="B394" s="1767" t="s">
        <v>16</v>
      </c>
      <c r="C394" t="s">
        <v>3571</v>
      </c>
      <c r="D394" t="s">
        <v>3572</v>
      </c>
      <c r="E394" t="s">
        <v>3573</v>
      </c>
      <c r="F394" t="s">
        <v>2419</v>
      </c>
      <c r="G394" t="s">
        <v>3574</v>
      </c>
      <c r="H394" t="s">
        <v>22</v>
      </c>
      <c r="I394" t="s">
        <v>1018</v>
      </c>
    </row>
    <row r="395" spans="1:9" ht="11.25" customHeight="1">
      <c r="A395" s="1767" t="s">
        <v>2416</v>
      </c>
      <c r="B395" s="1767" t="s">
        <v>16</v>
      </c>
      <c r="C395" t="s">
        <v>2966</v>
      </c>
      <c r="D395" t="s">
        <v>2967</v>
      </c>
      <c r="E395" t="s">
        <v>2968</v>
      </c>
      <c r="F395" t="s">
        <v>2419</v>
      </c>
      <c r="G395" t="s">
        <v>2969</v>
      </c>
      <c r="H395" t="s">
        <v>22</v>
      </c>
      <c r="I395" t="s">
        <v>1018</v>
      </c>
    </row>
    <row r="396" spans="1:9" ht="11.25" customHeight="1">
      <c r="A396" s="1767" t="s">
        <v>2416</v>
      </c>
      <c r="B396" s="1767" t="s">
        <v>16</v>
      </c>
      <c r="C396" t="s">
        <v>2974</v>
      </c>
      <c r="D396" t="s">
        <v>2975</v>
      </c>
      <c r="E396" t="s">
        <v>2976</v>
      </c>
      <c r="F396" t="s">
        <v>2618</v>
      </c>
      <c r="G396" t="s">
        <v>2977</v>
      </c>
      <c r="H396" t="s">
        <v>22</v>
      </c>
      <c r="I396" t="s">
        <v>1018</v>
      </c>
    </row>
    <row r="397" spans="1:9" ht="11.25" customHeight="1">
      <c r="A397" s="1767" t="s">
        <v>2416</v>
      </c>
      <c r="B397" s="1767" t="s">
        <v>16</v>
      </c>
      <c r="C397" t="s">
        <v>3575</v>
      </c>
      <c r="D397" t="s">
        <v>3576</v>
      </c>
      <c r="E397" t="s">
        <v>3577</v>
      </c>
      <c r="F397" t="s">
        <v>2691</v>
      </c>
      <c r="G397" t="s">
        <v>3578</v>
      </c>
      <c r="H397" t="s">
        <v>22</v>
      </c>
      <c r="I397" t="s">
        <v>1018</v>
      </c>
    </row>
    <row r="398" spans="1:9" ht="11.25" customHeight="1">
      <c r="A398" s="1767" t="s">
        <v>2416</v>
      </c>
      <c r="B398" s="1767" t="s">
        <v>16</v>
      </c>
      <c r="C398" t="s">
        <v>3579</v>
      </c>
      <c r="D398" t="s">
        <v>3580</v>
      </c>
      <c r="E398" t="s">
        <v>3581</v>
      </c>
      <c r="F398" t="s">
        <v>2423</v>
      </c>
      <c r="G398" t="s">
        <v>2853</v>
      </c>
      <c r="H398" t="s">
        <v>22</v>
      </c>
      <c r="I398" t="s">
        <v>1018</v>
      </c>
    </row>
    <row r="399" spans="1:9" ht="11.25" customHeight="1">
      <c r="A399" s="1767" t="s">
        <v>2416</v>
      </c>
      <c r="B399" s="1767" t="s">
        <v>16</v>
      </c>
      <c r="C399" t="s">
        <v>3582</v>
      </c>
      <c r="D399" t="s">
        <v>3583</v>
      </c>
      <c r="E399" t="s">
        <v>3584</v>
      </c>
      <c r="F399" t="s">
        <v>2490</v>
      </c>
      <c r="G399" t="s">
        <v>22</v>
      </c>
      <c r="H399" t="s">
        <v>22</v>
      </c>
      <c r="I399" t="s">
        <v>1018</v>
      </c>
    </row>
    <row r="400" spans="1:9" ht="11.25" customHeight="1">
      <c r="A400" s="1767" t="s">
        <v>2416</v>
      </c>
      <c r="B400" s="1767" t="s">
        <v>16</v>
      </c>
      <c r="C400" t="s">
        <v>2978</v>
      </c>
      <c r="D400" t="s">
        <v>2979</v>
      </c>
      <c r="E400" t="s">
        <v>2980</v>
      </c>
      <c r="F400" t="s">
        <v>2691</v>
      </c>
      <c r="G400" t="s">
        <v>2981</v>
      </c>
      <c r="H400" t="s">
        <v>22</v>
      </c>
      <c r="I400" t="s">
        <v>1018</v>
      </c>
    </row>
    <row r="401" spans="1:9" ht="11.25" customHeight="1">
      <c r="A401" s="1767" t="s">
        <v>2416</v>
      </c>
      <c r="B401" s="1767" t="s">
        <v>16</v>
      </c>
      <c r="C401" t="s">
        <v>2992</v>
      </c>
      <c r="D401" t="s">
        <v>2993</v>
      </c>
      <c r="E401" t="s">
        <v>2994</v>
      </c>
      <c r="F401" t="s">
        <v>2618</v>
      </c>
      <c r="G401" t="s">
        <v>2995</v>
      </c>
      <c r="H401" t="s">
        <v>22</v>
      </c>
      <c r="I401" t="s">
        <v>1018</v>
      </c>
    </row>
    <row r="402" spans="1:9" ht="11.25" customHeight="1">
      <c r="A402" s="1767" t="s">
        <v>2416</v>
      </c>
      <c r="B402" s="1767" t="s">
        <v>16</v>
      </c>
      <c r="C402" t="s">
        <v>2996</v>
      </c>
      <c r="D402" t="s">
        <v>2997</v>
      </c>
      <c r="E402" t="s">
        <v>2998</v>
      </c>
      <c r="F402" t="s">
        <v>2609</v>
      </c>
      <c r="G402" t="s">
        <v>2999</v>
      </c>
      <c r="H402" t="s">
        <v>22</v>
      </c>
      <c r="I402" t="s">
        <v>1018</v>
      </c>
    </row>
    <row r="403" spans="1:9" ht="11.25" customHeight="1">
      <c r="A403" s="1767" t="s">
        <v>2416</v>
      </c>
      <c r="B403" s="1767" t="s">
        <v>16</v>
      </c>
      <c r="C403" t="s">
        <v>3585</v>
      </c>
      <c r="D403" t="s">
        <v>3586</v>
      </c>
      <c r="E403" t="s">
        <v>3587</v>
      </c>
      <c r="F403" t="s">
        <v>2419</v>
      </c>
      <c r="G403" t="s">
        <v>3588</v>
      </c>
      <c r="H403" t="s">
        <v>22</v>
      </c>
      <c r="I403" t="s">
        <v>1018</v>
      </c>
    </row>
    <row r="404" spans="1:9" ht="11.25" customHeight="1">
      <c r="A404" s="1767" t="s">
        <v>2416</v>
      </c>
      <c r="B404" s="1767" t="s">
        <v>16</v>
      </c>
      <c r="C404" t="s">
        <v>3589</v>
      </c>
      <c r="D404" t="s">
        <v>3590</v>
      </c>
      <c r="E404" t="s">
        <v>3591</v>
      </c>
      <c r="F404" t="s">
        <v>2691</v>
      </c>
      <c r="G404" t="s">
        <v>3592</v>
      </c>
      <c r="H404" t="s">
        <v>22</v>
      </c>
      <c r="I404" t="s">
        <v>1018</v>
      </c>
    </row>
    <row r="405" spans="1:9" ht="11.25" customHeight="1">
      <c r="A405" s="1767" t="s">
        <v>2416</v>
      </c>
      <c r="B405" s="1767" t="s">
        <v>16</v>
      </c>
      <c r="C405" t="s">
        <v>3004</v>
      </c>
      <c r="D405" t="s">
        <v>3005</v>
      </c>
      <c r="E405" t="s">
        <v>3006</v>
      </c>
      <c r="F405" t="s">
        <v>2423</v>
      </c>
      <c r="G405" t="s">
        <v>3007</v>
      </c>
      <c r="H405" t="s">
        <v>22</v>
      </c>
      <c r="I405" t="s">
        <v>1018</v>
      </c>
    </row>
    <row r="406" spans="1:9" ht="11.25" customHeight="1">
      <c r="A406" s="1767" t="s">
        <v>2416</v>
      </c>
      <c r="B406" s="1767" t="s">
        <v>16</v>
      </c>
      <c r="C406" t="s">
        <v>3043</v>
      </c>
      <c r="D406" t="s">
        <v>3044</v>
      </c>
      <c r="E406" t="s">
        <v>3045</v>
      </c>
      <c r="F406" t="s">
        <v>2650</v>
      </c>
      <c r="G406" t="s">
        <v>3046</v>
      </c>
      <c r="H406" t="s">
        <v>22</v>
      </c>
      <c r="I406" t="s">
        <v>1018</v>
      </c>
    </row>
    <row r="407" spans="1:9" ht="11.25" customHeight="1">
      <c r="A407" s="1767" t="s">
        <v>2416</v>
      </c>
      <c r="B407" s="1767" t="s">
        <v>16</v>
      </c>
      <c r="C407" t="s">
        <v>3593</v>
      </c>
      <c r="D407" t="s">
        <v>3594</v>
      </c>
      <c r="E407" t="s">
        <v>3595</v>
      </c>
      <c r="F407" t="s">
        <v>2419</v>
      </c>
      <c r="G407" t="s">
        <v>3596</v>
      </c>
      <c r="H407" t="s">
        <v>22</v>
      </c>
      <c r="I407" t="s">
        <v>1018</v>
      </c>
    </row>
    <row r="408" spans="1:9" ht="11.25" customHeight="1">
      <c r="A408" s="1767" t="s">
        <v>2416</v>
      </c>
      <c r="B408" s="1767" t="s">
        <v>16</v>
      </c>
      <c r="C408" t="s">
        <v>3597</v>
      </c>
      <c r="D408" t="s">
        <v>3598</v>
      </c>
      <c r="E408" t="s">
        <v>3599</v>
      </c>
      <c r="F408" t="s">
        <v>2780</v>
      </c>
      <c r="G408" t="s">
        <v>3600</v>
      </c>
      <c r="H408" t="s">
        <v>22</v>
      </c>
      <c r="I408" t="s">
        <v>1018</v>
      </c>
    </row>
    <row r="409" spans="1:9" ht="11.25" customHeight="1">
      <c r="A409" s="1767" t="s">
        <v>2416</v>
      </c>
      <c r="B409" s="1767" t="s">
        <v>16</v>
      </c>
      <c r="C409" t="s">
        <v>3601</v>
      </c>
      <c r="D409" t="s">
        <v>3602</v>
      </c>
      <c r="E409" t="s">
        <v>3603</v>
      </c>
      <c r="F409" t="s">
        <v>2419</v>
      </c>
      <c r="G409" t="s">
        <v>3604</v>
      </c>
      <c r="H409" t="s">
        <v>22</v>
      </c>
      <c r="I409" t="s">
        <v>1018</v>
      </c>
    </row>
    <row r="410" spans="1:9" ht="11.25" customHeight="1">
      <c r="A410" s="1767" t="s">
        <v>2416</v>
      </c>
      <c r="B410" s="1767" t="s">
        <v>16</v>
      </c>
      <c r="C410" t="s">
        <v>3083</v>
      </c>
      <c r="D410" t="s">
        <v>3084</v>
      </c>
      <c r="E410" t="s">
        <v>3085</v>
      </c>
      <c r="F410" t="s">
        <v>2614</v>
      </c>
      <c r="G410" t="s">
        <v>3086</v>
      </c>
      <c r="H410" t="s">
        <v>22</v>
      </c>
      <c r="I410" t="s">
        <v>1018</v>
      </c>
    </row>
    <row r="411" spans="1:9" ht="11.25" customHeight="1">
      <c r="A411" s="1767" t="s">
        <v>2416</v>
      </c>
      <c r="B411" s="1767" t="s">
        <v>16</v>
      </c>
      <c r="C411" t="s">
        <v>3605</v>
      </c>
      <c r="D411" t="s">
        <v>3606</v>
      </c>
      <c r="E411" t="s">
        <v>3607</v>
      </c>
      <c r="F411" t="s">
        <v>2419</v>
      </c>
      <c r="G411" t="s">
        <v>3608</v>
      </c>
      <c r="H411" t="s">
        <v>22</v>
      </c>
      <c r="I411" t="s">
        <v>1018</v>
      </c>
    </row>
    <row r="412" spans="1:9" ht="11.25" customHeight="1">
      <c r="A412" s="1767" t="s">
        <v>2416</v>
      </c>
      <c r="B412" s="1767" t="s">
        <v>16</v>
      </c>
      <c r="C412" t="s">
        <v>3609</v>
      </c>
      <c r="D412" t="s">
        <v>3610</v>
      </c>
      <c r="E412" t="s">
        <v>3611</v>
      </c>
      <c r="F412" t="s">
        <v>2419</v>
      </c>
      <c r="G412" t="s">
        <v>3612</v>
      </c>
      <c r="H412" t="s">
        <v>22</v>
      </c>
      <c r="I412" t="s">
        <v>1018</v>
      </c>
    </row>
    <row r="413" spans="1:9" ht="11.25" customHeight="1">
      <c r="A413" s="1767" t="s">
        <v>2416</v>
      </c>
      <c r="B413" s="1767" t="s">
        <v>16</v>
      </c>
      <c r="C413" t="s">
        <v>3091</v>
      </c>
      <c r="D413" t="s">
        <v>3092</v>
      </c>
      <c r="E413" t="s">
        <v>3093</v>
      </c>
      <c r="F413" t="s">
        <v>2755</v>
      </c>
      <c r="G413" t="s">
        <v>3094</v>
      </c>
      <c r="H413" t="s">
        <v>22</v>
      </c>
      <c r="I413" t="s">
        <v>1018</v>
      </c>
    </row>
    <row r="414" spans="1:9" ht="11.25" customHeight="1">
      <c r="A414" s="1767" t="s">
        <v>2416</v>
      </c>
      <c r="B414" s="1767" t="s">
        <v>16</v>
      </c>
      <c r="C414" t="s">
        <v>3095</v>
      </c>
      <c r="D414" t="s">
        <v>3096</v>
      </c>
      <c r="E414" t="s">
        <v>3097</v>
      </c>
      <c r="F414" t="s">
        <v>3081</v>
      </c>
      <c r="G414" t="s">
        <v>3098</v>
      </c>
      <c r="H414" t="s">
        <v>22</v>
      </c>
      <c r="I414" t="s">
        <v>1018</v>
      </c>
    </row>
    <row r="415" spans="1:9" ht="11.25" customHeight="1">
      <c r="A415" s="1767" t="s">
        <v>2416</v>
      </c>
      <c r="B415" s="1767" t="s">
        <v>16</v>
      </c>
      <c r="C415" t="s">
        <v>3099</v>
      </c>
      <c r="D415" t="s">
        <v>3100</v>
      </c>
      <c r="E415" t="s">
        <v>3101</v>
      </c>
      <c r="F415" t="s">
        <v>2650</v>
      </c>
      <c r="G415" t="s">
        <v>3102</v>
      </c>
      <c r="H415" t="s">
        <v>22</v>
      </c>
      <c r="I415" t="s">
        <v>1018</v>
      </c>
    </row>
    <row r="416" spans="1:9" ht="11.25" customHeight="1">
      <c r="A416" s="1767" t="s">
        <v>2416</v>
      </c>
      <c r="B416" s="1767" t="s">
        <v>16</v>
      </c>
      <c r="C416" t="s">
        <v>3103</v>
      </c>
      <c r="D416" t="s">
        <v>3104</v>
      </c>
      <c r="E416" t="s">
        <v>3105</v>
      </c>
      <c r="F416" t="s">
        <v>2596</v>
      </c>
      <c r="G416" t="s">
        <v>3106</v>
      </c>
      <c r="H416" t="s">
        <v>22</v>
      </c>
      <c r="I416" t="s">
        <v>1018</v>
      </c>
    </row>
    <row r="417" spans="1:9" ht="11.25" customHeight="1">
      <c r="A417" s="1767" t="s">
        <v>2416</v>
      </c>
      <c r="B417" s="1767" t="s">
        <v>16</v>
      </c>
      <c r="C417" t="s">
        <v>3107</v>
      </c>
      <c r="D417" t="s">
        <v>3108</v>
      </c>
      <c r="E417" t="s">
        <v>3109</v>
      </c>
      <c r="F417" t="s">
        <v>2423</v>
      </c>
      <c r="G417" t="s">
        <v>3110</v>
      </c>
      <c r="H417" t="s">
        <v>22</v>
      </c>
      <c r="I417" t="s">
        <v>1018</v>
      </c>
    </row>
    <row r="418" spans="1:9" ht="11.25" customHeight="1">
      <c r="A418" s="1767" t="s">
        <v>2416</v>
      </c>
      <c r="B418" s="1767" t="s">
        <v>16</v>
      </c>
      <c r="C418" t="s">
        <v>3111</v>
      </c>
      <c r="D418" t="s">
        <v>3112</v>
      </c>
      <c r="E418" t="s">
        <v>3113</v>
      </c>
      <c r="F418" t="s">
        <v>2618</v>
      </c>
      <c r="G418" t="s">
        <v>3114</v>
      </c>
      <c r="H418" t="s">
        <v>22</v>
      </c>
      <c r="I418" t="s">
        <v>1018</v>
      </c>
    </row>
    <row r="419" spans="1:9" ht="11.25" customHeight="1">
      <c r="A419" s="1767" t="s">
        <v>2416</v>
      </c>
      <c r="B419" s="1767" t="s">
        <v>16</v>
      </c>
      <c r="C419" t="s">
        <v>3123</v>
      </c>
      <c r="D419" t="s">
        <v>3124</v>
      </c>
      <c r="E419" t="s">
        <v>3125</v>
      </c>
      <c r="F419" t="s">
        <v>2419</v>
      </c>
      <c r="G419" t="s">
        <v>3126</v>
      </c>
      <c r="H419" t="s">
        <v>22</v>
      </c>
      <c r="I419" t="s">
        <v>1018</v>
      </c>
    </row>
    <row r="420" spans="1:9" ht="11.25" customHeight="1">
      <c r="A420" s="1767" t="s">
        <v>2416</v>
      </c>
      <c r="B420" s="1767" t="s">
        <v>16</v>
      </c>
      <c r="C420" t="s">
        <v>3613</v>
      </c>
      <c r="D420" t="s">
        <v>3614</v>
      </c>
      <c r="E420" t="s">
        <v>3615</v>
      </c>
      <c r="F420" t="s">
        <v>2609</v>
      </c>
      <c r="G420" t="s">
        <v>3616</v>
      </c>
      <c r="H420" t="s">
        <v>22</v>
      </c>
      <c r="I420" t="s">
        <v>1018</v>
      </c>
    </row>
    <row r="421" spans="1:9" ht="11.25" customHeight="1">
      <c r="A421" s="1767" t="s">
        <v>2416</v>
      </c>
      <c r="B421" s="1767" t="s">
        <v>16</v>
      </c>
      <c r="C421" t="s">
        <v>3135</v>
      </c>
      <c r="D421" t="s">
        <v>3136</v>
      </c>
      <c r="E421" t="s">
        <v>3137</v>
      </c>
      <c r="F421" t="s">
        <v>2780</v>
      </c>
      <c r="G421" t="s">
        <v>3138</v>
      </c>
      <c r="H421" t="s">
        <v>22</v>
      </c>
      <c r="I421" t="s">
        <v>1018</v>
      </c>
    </row>
    <row r="422" spans="1:9" ht="11.25" customHeight="1">
      <c r="A422" s="1767" t="s">
        <v>2416</v>
      </c>
      <c r="B422" s="1767" t="s">
        <v>16</v>
      </c>
      <c r="C422" t="s">
        <v>3139</v>
      </c>
      <c r="D422" t="s">
        <v>3140</v>
      </c>
      <c r="E422" t="s">
        <v>3141</v>
      </c>
      <c r="F422" t="s">
        <v>2650</v>
      </c>
      <c r="G422" t="s">
        <v>3142</v>
      </c>
      <c r="H422" t="s">
        <v>22</v>
      </c>
      <c r="I422" t="s">
        <v>1018</v>
      </c>
    </row>
    <row r="423" spans="1:9" ht="11.25" customHeight="1">
      <c r="A423" s="1767" t="s">
        <v>2416</v>
      </c>
      <c r="B423" s="1767" t="s">
        <v>16</v>
      </c>
      <c r="C423" t="s">
        <v>3159</v>
      </c>
      <c r="D423" t="s">
        <v>3160</v>
      </c>
      <c r="E423" t="s">
        <v>3161</v>
      </c>
      <c r="F423" t="s">
        <v>2580</v>
      </c>
      <c r="G423" t="s">
        <v>3162</v>
      </c>
      <c r="H423" t="s">
        <v>22</v>
      </c>
      <c r="I423" t="s">
        <v>1018</v>
      </c>
    </row>
    <row r="424" spans="1:9" ht="11.25" customHeight="1">
      <c r="A424" s="1767" t="s">
        <v>2416</v>
      </c>
      <c r="B424" s="1767" t="s">
        <v>16</v>
      </c>
      <c r="C424" t="s">
        <v>3210</v>
      </c>
      <c r="D424" t="s">
        <v>3211</v>
      </c>
      <c r="E424" t="s">
        <v>3212</v>
      </c>
      <c r="F424" t="s">
        <v>2650</v>
      </c>
      <c r="G424" t="s">
        <v>3213</v>
      </c>
      <c r="H424" t="s">
        <v>3214</v>
      </c>
      <c r="I424" t="s">
        <v>1018</v>
      </c>
    </row>
    <row r="425" spans="1:9" ht="11.25" customHeight="1">
      <c r="A425" s="1767" t="s">
        <v>2416</v>
      </c>
      <c r="B425" s="1767" t="s">
        <v>16</v>
      </c>
      <c r="C425" t="s">
        <v>3617</v>
      </c>
      <c r="D425" t="s">
        <v>3618</v>
      </c>
      <c r="E425" t="s">
        <v>3619</v>
      </c>
      <c r="F425" t="s">
        <v>2419</v>
      </c>
      <c r="G425" t="s">
        <v>3620</v>
      </c>
      <c r="H425" t="s">
        <v>22</v>
      </c>
      <c r="I425" t="s">
        <v>1018</v>
      </c>
    </row>
    <row r="426" spans="1:9" ht="11.25" customHeight="1">
      <c r="A426" s="1767" t="s">
        <v>2416</v>
      </c>
      <c r="B426" s="1767" t="s">
        <v>16</v>
      </c>
      <c r="C426" t="s">
        <v>3621</v>
      </c>
      <c r="D426" t="s">
        <v>3622</v>
      </c>
      <c r="E426" t="s">
        <v>3623</v>
      </c>
      <c r="F426" t="s">
        <v>2780</v>
      </c>
      <c r="G426" t="s">
        <v>3624</v>
      </c>
      <c r="H426" t="s">
        <v>22</v>
      </c>
      <c r="I426" t="s">
        <v>1018</v>
      </c>
    </row>
    <row r="427" spans="1:9" ht="11.25" customHeight="1">
      <c r="A427" s="1767" t="s">
        <v>2416</v>
      </c>
      <c r="B427" s="1767" t="s">
        <v>16</v>
      </c>
      <c r="C427" t="s">
        <v>3625</v>
      </c>
      <c r="D427" t="s">
        <v>3626</v>
      </c>
      <c r="E427" t="s">
        <v>3627</v>
      </c>
      <c r="F427" t="s">
        <v>2540</v>
      </c>
      <c r="G427" t="s">
        <v>3628</v>
      </c>
      <c r="H427" t="s">
        <v>22</v>
      </c>
      <c r="I427" t="s">
        <v>1018</v>
      </c>
    </row>
    <row r="428" spans="1:9" ht="11.25" customHeight="1">
      <c r="A428" s="1767" t="s">
        <v>2416</v>
      </c>
      <c r="B428" s="1767" t="s">
        <v>16</v>
      </c>
      <c r="C428" t="s">
        <v>3223</v>
      </c>
      <c r="D428" t="s">
        <v>46</v>
      </c>
      <c r="E428" t="s">
        <v>49</v>
      </c>
      <c r="F428" t="s">
        <v>3224</v>
      </c>
      <c r="G428" t="s">
        <v>3225</v>
      </c>
      <c r="H428" t="s">
        <v>22</v>
      </c>
      <c r="I428" t="s">
        <v>1018</v>
      </c>
    </row>
    <row r="429" spans="1:9" ht="11.25" customHeight="1">
      <c r="A429" s="1767" t="s">
        <v>2416</v>
      </c>
      <c r="B429" s="1767" t="s">
        <v>16</v>
      </c>
      <c r="C429" t="s">
        <v>13</v>
      </c>
      <c r="D429" t="s">
        <v>46</v>
      </c>
      <c r="E429" t="s">
        <v>49</v>
      </c>
      <c r="F429" t="s">
        <v>51</v>
      </c>
      <c r="G429" t="s">
        <v>22</v>
      </c>
      <c r="H429" t="s">
        <v>22</v>
      </c>
      <c r="I429" t="s">
        <v>1018</v>
      </c>
    </row>
    <row r="430" spans="1:9" ht="11.25" customHeight="1">
      <c r="A430" s="1767" t="s">
        <v>2416</v>
      </c>
      <c r="B430" s="1767" t="s">
        <v>16</v>
      </c>
      <c r="C430" t="s">
        <v>3226</v>
      </c>
      <c r="D430" t="s">
        <v>3227</v>
      </c>
      <c r="E430" t="s">
        <v>3228</v>
      </c>
      <c r="F430" t="s">
        <v>3229</v>
      </c>
      <c r="G430" t="s">
        <v>3230</v>
      </c>
      <c r="H430" t="s">
        <v>22</v>
      </c>
      <c r="I430" t="s">
        <v>1018</v>
      </c>
    </row>
    <row r="431" spans="1:9" ht="11.25" customHeight="1">
      <c r="A431" s="1767" t="s">
        <v>2416</v>
      </c>
      <c r="B431" s="1767" t="s">
        <v>16</v>
      </c>
      <c r="C431" t="s">
        <v>3231</v>
      </c>
      <c r="D431" t="s">
        <v>3232</v>
      </c>
      <c r="E431" t="s">
        <v>3233</v>
      </c>
      <c r="F431" t="s">
        <v>2609</v>
      </c>
      <c r="G431" t="s">
        <v>3234</v>
      </c>
      <c r="H431" t="s">
        <v>22</v>
      </c>
      <c r="I431" t="s">
        <v>1018</v>
      </c>
    </row>
    <row r="432" spans="1:9" ht="11.25" customHeight="1">
      <c r="A432" s="1767" t="s">
        <v>2416</v>
      </c>
      <c r="B432" s="1767" t="s">
        <v>16</v>
      </c>
      <c r="C432" t="s">
        <v>3239</v>
      </c>
      <c r="D432" t="s">
        <v>3240</v>
      </c>
      <c r="E432" t="s">
        <v>2441</v>
      </c>
      <c r="F432" t="s">
        <v>3241</v>
      </c>
      <c r="G432" t="s">
        <v>2442</v>
      </c>
      <c r="H432" t="s">
        <v>22</v>
      </c>
      <c r="I432" t="s">
        <v>1018</v>
      </c>
    </row>
    <row r="433" spans="1:9" ht="11.25" customHeight="1">
      <c r="A433" s="1767" t="s">
        <v>2416</v>
      </c>
      <c r="B433" s="1767" t="s">
        <v>16</v>
      </c>
      <c r="C433" t="s">
        <v>3250</v>
      </c>
      <c r="D433" t="s">
        <v>3251</v>
      </c>
      <c r="E433" t="s">
        <v>3252</v>
      </c>
      <c r="F433" t="s">
        <v>2490</v>
      </c>
      <c r="G433" t="s">
        <v>2881</v>
      </c>
      <c r="H433" t="s">
        <v>22</v>
      </c>
      <c r="I433" t="s">
        <v>1018</v>
      </c>
    </row>
    <row r="434" spans="1:9" ht="11.25" customHeight="1">
      <c r="A434" s="1767" t="s">
        <v>2416</v>
      </c>
      <c r="B434" s="1767" t="s">
        <v>16</v>
      </c>
      <c r="C434" t="s">
        <v>3260</v>
      </c>
      <c r="D434" t="s">
        <v>3261</v>
      </c>
      <c r="E434" t="s">
        <v>2506</v>
      </c>
      <c r="F434" t="s">
        <v>3262</v>
      </c>
      <c r="G434" t="s">
        <v>22</v>
      </c>
      <c r="H434" t="s">
        <v>22</v>
      </c>
      <c r="I434" t="s">
        <v>1018</v>
      </c>
    </row>
    <row r="435" spans="1:9" ht="11.25" customHeight="1">
      <c r="A435" s="1767" t="s">
        <v>2416</v>
      </c>
      <c r="B435" s="1767" t="s">
        <v>16</v>
      </c>
      <c r="C435" t="s">
        <v>3263</v>
      </c>
      <c r="D435" t="s">
        <v>3264</v>
      </c>
      <c r="E435" t="s">
        <v>3265</v>
      </c>
      <c r="F435" t="s">
        <v>3266</v>
      </c>
      <c r="G435" t="s">
        <v>3267</v>
      </c>
      <c r="H435" t="s">
        <v>22</v>
      </c>
      <c r="I435" t="s">
        <v>1018</v>
      </c>
    </row>
    <row r="436" spans="1:9" ht="11.25" customHeight="1">
      <c r="A436" s="1767" t="s">
        <v>2416</v>
      </c>
      <c r="B436" s="1767" t="s">
        <v>16</v>
      </c>
      <c r="C436" t="s">
        <v>3268</v>
      </c>
      <c r="D436" t="s">
        <v>3269</v>
      </c>
      <c r="E436" t="s">
        <v>3265</v>
      </c>
      <c r="F436" t="s">
        <v>2580</v>
      </c>
      <c r="G436" t="s">
        <v>3270</v>
      </c>
      <c r="H436" t="s">
        <v>22</v>
      </c>
      <c r="I436" t="s">
        <v>1018</v>
      </c>
    </row>
    <row r="437" spans="1:9" ht="11.25" customHeight="1">
      <c r="A437" s="1767" t="s">
        <v>2416</v>
      </c>
      <c r="B437" s="1767" t="s">
        <v>16</v>
      </c>
      <c r="C437" t="s">
        <v>3275</v>
      </c>
      <c r="D437" t="s">
        <v>3276</v>
      </c>
      <c r="E437" t="s">
        <v>2441</v>
      </c>
      <c r="F437" t="s">
        <v>3277</v>
      </c>
      <c r="G437" t="s">
        <v>22</v>
      </c>
      <c r="H437" t="s">
        <v>22</v>
      </c>
      <c r="I437" t="s">
        <v>1018</v>
      </c>
    </row>
    <row r="438" spans="1:9" ht="11.25" customHeight="1">
      <c r="A438" s="1767" t="s">
        <v>2416</v>
      </c>
      <c r="B438" s="1767" t="s">
        <v>16</v>
      </c>
      <c r="C438" t="s">
        <v>3282</v>
      </c>
      <c r="D438" t="s">
        <v>3283</v>
      </c>
      <c r="E438" t="s">
        <v>3284</v>
      </c>
      <c r="F438" t="s">
        <v>3285</v>
      </c>
      <c r="G438" t="s">
        <v>3286</v>
      </c>
      <c r="H438" t="s">
        <v>22</v>
      </c>
      <c r="I438" t="s">
        <v>1018</v>
      </c>
    </row>
    <row r="439" spans="1:9" ht="11.25" customHeight="1">
      <c r="A439" s="1767" t="s">
        <v>2416</v>
      </c>
      <c r="B439" s="1767" t="s">
        <v>16</v>
      </c>
      <c r="C439" t="s">
        <v>3287</v>
      </c>
      <c r="D439" t="s">
        <v>3288</v>
      </c>
      <c r="E439" t="s">
        <v>3289</v>
      </c>
      <c r="F439" t="s">
        <v>2614</v>
      </c>
      <c r="G439" t="s">
        <v>3290</v>
      </c>
      <c r="H439" t="s">
        <v>22</v>
      </c>
      <c r="I439" t="s">
        <v>1018</v>
      </c>
    </row>
    <row r="440" spans="1:9" ht="11.25" customHeight="1">
      <c r="A440" s="1767" t="s">
        <v>2416</v>
      </c>
      <c r="B440" s="1767" t="s">
        <v>16</v>
      </c>
      <c r="C440" t="s">
        <v>3308</v>
      </c>
      <c r="D440" t="s">
        <v>3309</v>
      </c>
      <c r="E440" t="s">
        <v>3310</v>
      </c>
      <c r="F440" t="s">
        <v>2618</v>
      </c>
      <c r="G440" t="s">
        <v>3311</v>
      </c>
      <c r="H440" t="s">
        <v>22</v>
      </c>
      <c r="I440" t="s">
        <v>1018</v>
      </c>
    </row>
    <row r="441" spans="1:9" ht="11.25" customHeight="1">
      <c r="A441" s="1767" t="s">
        <v>2416</v>
      </c>
      <c r="B441" s="1767" t="s">
        <v>16</v>
      </c>
      <c r="C441" t="s">
        <v>3312</v>
      </c>
      <c r="D441" t="s">
        <v>3313</v>
      </c>
      <c r="E441" t="s">
        <v>3314</v>
      </c>
      <c r="F441" t="s">
        <v>2614</v>
      </c>
      <c r="G441" t="s">
        <v>3315</v>
      </c>
      <c r="H441" t="s">
        <v>3316</v>
      </c>
      <c r="I441" t="s">
        <v>1018</v>
      </c>
    </row>
    <row r="442" spans="1:9" ht="11.25" customHeight="1">
      <c r="A442" s="1767" t="s">
        <v>2416</v>
      </c>
      <c r="B442" s="1767" t="s">
        <v>16</v>
      </c>
      <c r="C442" t="s">
        <v>3317</v>
      </c>
      <c r="D442" t="s">
        <v>3318</v>
      </c>
      <c r="E442" t="s">
        <v>3319</v>
      </c>
      <c r="F442" t="s">
        <v>2618</v>
      </c>
      <c r="G442" t="s">
        <v>3320</v>
      </c>
      <c r="H442" t="s">
        <v>22</v>
      </c>
      <c r="I442" t="s">
        <v>1018</v>
      </c>
    </row>
    <row r="443" spans="1:9" ht="11.25" customHeight="1">
      <c r="A443" s="1767" t="s">
        <v>2416</v>
      </c>
      <c r="B443" s="1767" t="s">
        <v>16</v>
      </c>
      <c r="C443" t="s">
        <v>22</v>
      </c>
      <c r="D443" t="s">
        <v>2417</v>
      </c>
      <c r="E443" t="s">
        <v>2418</v>
      </c>
      <c r="F443" t="s">
        <v>2419</v>
      </c>
      <c r="G443" t="s">
        <v>22</v>
      </c>
      <c r="H443" t="s">
        <v>22</v>
      </c>
      <c r="I443" t="s">
        <v>1071</v>
      </c>
    </row>
    <row r="444" spans="1:9" ht="11.25" customHeight="1">
      <c r="A444" s="1767" t="s">
        <v>2416</v>
      </c>
      <c r="B444" s="1767" t="s">
        <v>16</v>
      </c>
      <c r="C444" t="s">
        <v>2429</v>
      </c>
      <c r="D444" t="s">
        <v>2430</v>
      </c>
      <c r="E444" t="s">
        <v>2431</v>
      </c>
      <c r="F444" t="s">
        <v>2432</v>
      </c>
      <c r="G444" t="s">
        <v>2433</v>
      </c>
      <c r="H444" t="s">
        <v>22</v>
      </c>
      <c r="I444" t="s">
        <v>1071</v>
      </c>
    </row>
    <row r="445" spans="1:9" ht="11.25" customHeight="1">
      <c r="A445" s="1767" t="s">
        <v>2416</v>
      </c>
      <c r="B445" s="1767" t="s">
        <v>16</v>
      </c>
      <c r="C445" t="s">
        <v>2434</v>
      </c>
      <c r="D445" t="s">
        <v>2435</v>
      </c>
      <c r="E445" t="s">
        <v>2436</v>
      </c>
      <c r="F445" t="s">
        <v>2437</v>
      </c>
      <c r="G445" t="s">
        <v>2438</v>
      </c>
      <c r="H445" t="s">
        <v>22</v>
      </c>
      <c r="I445" t="s">
        <v>1071</v>
      </c>
    </row>
    <row r="446" spans="1:9" ht="11.25" customHeight="1">
      <c r="A446" s="1767" t="s">
        <v>2416</v>
      </c>
      <c r="B446" s="1767" t="s">
        <v>16</v>
      </c>
      <c r="C446" t="s">
        <v>2439</v>
      </c>
      <c r="D446" t="s">
        <v>2440</v>
      </c>
      <c r="E446" t="s">
        <v>2441</v>
      </c>
      <c r="F446" t="s">
        <v>2419</v>
      </c>
      <c r="G446" t="s">
        <v>2442</v>
      </c>
      <c r="H446" t="s">
        <v>22</v>
      </c>
      <c r="I446" t="s">
        <v>1071</v>
      </c>
    </row>
    <row r="447" spans="1:9" ht="11.25" customHeight="1">
      <c r="A447" s="1767" t="s">
        <v>2416</v>
      </c>
      <c r="B447" s="1767" t="s">
        <v>16</v>
      </c>
      <c r="C447" t="s">
        <v>2443</v>
      </c>
      <c r="D447" t="s">
        <v>2444</v>
      </c>
      <c r="E447" t="s">
        <v>2445</v>
      </c>
      <c r="F447" t="s">
        <v>2419</v>
      </c>
      <c r="G447" t="s">
        <v>2446</v>
      </c>
      <c r="H447" t="s">
        <v>22</v>
      </c>
      <c r="I447" t="s">
        <v>1071</v>
      </c>
    </row>
    <row r="448" spans="1:9" ht="11.25" customHeight="1">
      <c r="A448" s="1767" t="s">
        <v>2416</v>
      </c>
      <c r="B448" s="1767" t="s">
        <v>16</v>
      </c>
      <c r="C448" t="s">
        <v>2459</v>
      </c>
      <c r="D448" t="s">
        <v>2460</v>
      </c>
      <c r="E448" t="s">
        <v>2461</v>
      </c>
      <c r="F448" t="s">
        <v>2462</v>
      </c>
      <c r="G448" t="s">
        <v>22</v>
      </c>
      <c r="H448" t="s">
        <v>22</v>
      </c>
      <c r="I448" t="s">
        <v>1071</v>
      </c>
    </row>
    <row r="449" spans="1:9" ht="11.25" customHeight="1">
      <c r="A449" s="1767" t="s">
        <v>2416</v>
      </c>
      <c r="B449" s="1767" t="s">
        <v>16</v>
      </c>
      <c r="C449" t="s">
        <v>2463</v>
      </c>
      <c r="D449" t="s">
        <v>2464</v>
      </c>
      <c r="E449" t="s">
        <v>2465</v>
      </c>
      <c r="F449" t="s">
        <v>2466</v>
      </c>
      <c r="G449" t="s">
        <v>2467</v>
      </c>
      <c r="H449" t="s">
        <v>22</v>
      </c>
      <c r="I449" t="s">
        <v>1071</v>
      </c>
    </row>
    <row r="450" spans="1:9" ht="11.25" customHeight="1">
      <c r="A450" s="1767" t="s">
        <v>2416</v>
      </c>
      <c r="B450" s="1767" t="s">
        <v>16</v>
      </c>
      <c r="C450" t="s">
        <v>2468</v>
      </c>
      <c r="D450" t="s">
        <v>2469</v>
      </c>
      <c r="E450" t="s">
        <v>2470</v>
      </c>
      <c r="F450" t="s">
        <v>2471</v>
      </c>
      <c r="G450" t="s">
        <v>2472</v>
      </c>
      <c r="H450" t="s">
        <v>22</v>
      </c>
      <c r="I450" t="s">
        <v>1071</v>
      </c>
    </row>
    <row r="451" spans="1:9" ht="11.25" customHeight="1">
      <c r="A451" s="1767" t="s">
        <v>2416</v>
      </c>
      <c r="B451" s="1767" t="s">
        <v>16</v>
      </c>
      <c r="C451" t="s">
        <v>2487</v>
      </c>
      <c r="D451" t="s">
        <v>2488</v>
      </c>
      <c r="E451" t="s">
        <v>2489</v>
      </c>
      <c r="F451" t="s">
        <v>2490</v>
      </c>
      <c r="G451" t="s">
        <v>2491</v>
      </c>
      <c r="H451" t="s">
        <v>22</v>
      </c>
      <c r="I451" t="s">
        <v>1071</v>
      </c>
    </row>
    <row r="452" spans="1:9" ht="11.25" customHeight="1">
      <c r="A452" s="1767" t="s">
        <v>2416</v>
      </c>
      <c r="B452" s="1767" t="s">
        <v>16</v>
      </c>
      <c r="C452" t="s">
        <v>2492</v>
      </c>
      <c r="D452" t="s">
        <v>2493</v>
      </c>
      <c r="E452" t="s">
        <v>2494</v>
      </c>
      <c r="F452" t="s">
        <v>2437</v>
      </c>
      <c r="G452" t="s">
        <v>2495</v>
      </c>
      <c r="H452" t="s">
        <v>22</v>
      </c>
      <c r="I452" t="s">
        <v>1071</v>
      </c>
    </row>
    <row r="453" spans="1:9" ht="11.25" customHeight="1">
      <c r="A453" s="1767" t="s">
        <v>2416</v>
      </c>
      <c r="B453" s="1767" t="s">
        <v>16</v>
      </c>
      <c r="C453" t="s">
        <v>2496</v>
      </c>
      <c r="D453" t="s">
        <v>2497</v>
      </c>
      <c r="E453" t="s">
        <v>2498</v>
      </c>
      <c r="F453" t="s">
        <v>2490</v>
      </c>
      <c r="G453" t="s">
        <v>2499</v>
      </c>
      <c r="H453" t="s">
        <v>22</v>
      </c>
      <c r="I453" t="s">
        <v>1071</v>
      </c>
    </row>
    <row r="454" spans="1:9" ht="11.25" customHeight="1">
      <c r="A454" s="1767" t="s">
        <v>2416</v>
      </c>
      <c r="B454" s="1767" t="s">
        <v>16</v>
      </c>
      <c r="C454" t="s">
        <v>2524</v>
      </c>
      <c r="D454" t="s">
        <v>2525</v>
      </c>
      <c r="E454" t="s">
        <v>2526</v>
      </c>
      <c r="F454" t="s">
        <v>2527</v>
      </c>
      <c r="G454" t="s">
        <v>2528</v>
      </c>
      <c r="H454" t="s">
        <v>22</v>
      </c>
      <c r="I454" t="s">
        <v>1071</v>
      </c>
    </row>
    <row r="455" spans="1:9" ht="11.25" customHeight="1">
      <c r="A455" s="1767" t="s">
        <v>2416</v>
      </c>
      <c r="B455" s="1767" t="s">
        <v>16</v>
      </c>
      <c r="C455" t="s">
        <v>2537</v>
      </c>
      <c r="D455" t="s">
        <v>2538</v>
      </c>
      <c r="E455" t="s">
        <v>2539</v>
      </c>
      <c r="F455" t="s">
        <v>2540</v>
      </c>
      <c r="G455" t="s">
        <v>2520</v>
      </c>
      <c r="H455" t="s">
        <v>22</v>
      </c>
      <c r="I455" t="s">
        <v>1071</v>
      </c>
    </row>
    <row r="456" spans="1:9" ht="11.25" customHeight="1">
      <c r="A456" s="1767" t="s">
        <v>2416</v>
      </c>
      <c r="B456" s="1767" t="s">
        <v>16</v>
      </c>
      <c r="C456" t="s">
        <v>2577</v>
      </c>
      <c r="D456" t="s">
        <v>2578</v>
      </c>
      <c r="E456" t="s">
        <v>2579</v>
      </c>
      <c r="F456" t="s">
        <v>2580</v>
      </c>
      <c r="G456" t="s">
        <v>2581</v>
      </c>
      <c r="H456" t="s">
        <v>22</v>
      </c>
      <c r="I456" t="s">
        <v>1071</v>
      </c>
    </row>
    <row r="457" spans="1:9" ht="11.25" customHeight="1">
      <c r="A457" s="1767" t="s">
        <v>2416</v>
      </c>
      <c r="B457" s="1767" t="s">
        <v>16</v>
      </c>
      <c r="C457" t="s">
        <v>2582</v>
      </c>
      <c r="D457" t="s">
        <v>2583</v>
      </c>
      <c r="E457" t="s">
        <v>2441</v>
      </c>
      <c r="F457" t="s">
        <v>2584</v>
      </c>
      <c r="G457" t="s">
        <v>2442</v>
      </c>
      <c r="H457" t="s">
        <v>22</v>
      </c>
      <c r="I457" t="s">
        <v>1071</v>
      </c>
    </row>
    <row r="458" spans="1:9" ht="11.25" customHeight="1">
      <c r="A458" s="1767" t="s">
        <v>2416</v>
      </c>
      <c r="B458" s="1767" t="s">
        <v>16</v>
      </c>
      <c r="C458" t="s">
        <v>3356</v>
      </c>
      <c r="D458" t="s">
        <v>3357</v>
      </c>
      <c r="E458" t="s">
        <v>3358</v>
      </c>
      <c r="F458" t="s">
        <v>2540</v>
      </c>
      <c r="G458" t="s">
        <v>3222</v>
      </c>
      <c r="H458" t="s">
        <v>22</v>
      </c>
      <c r="I458" t="s">
        <v>1071</v>
      </c>
    </row>
    <row r="459" spans="1:9" ht="11.25" customHeight="1">
      <c r="A459" s="1767" t="s">
        <v>2416</v>
      </c>
      <c r="B459" s="1767" t="s">
        <v>16</v>
      </c>
      <c r="C459" t="s">
        <v>3359</v>
      </c>
      <c r="D459" t="s">
        <v>3360</v>
      </c>
      <c r="E459" t="s">
        <v>3361</v>
      </c>
      <c r="F459" t="s">
        <v>2471</v>
      </c>
      <c r="G459" t="s">
        <v>2635</v>
      </c>
      <c r="H459" t="s">
        <v>22</v>
      </c>
      <c r="I459" t="s">
        <v>1071</v>
      </c>
    </row>
    <row r="460" spans="1:9" ht="11.25" customHeight="1">
      <c r="A460" s="1767" t="s">
        <v>2416</v>
      </c>
      <c r="B460" s="1767" t="s">
        <v>16</v>
      </c>
      <c r="C460" t="s">
        <v>2636</v>
      </c>
      <c r="D460" t="s">
        <v>2637</v>
      </c>
      <c r="E460" t="s">
        <v>2638</v>
      </c>
      <c r="F460" t="s">
        <v>2540</v>
      </c>
      <c r="G460" t="s">
        <v>2639</v>
      </c>
      <c r="H460" t="s">
        <v>22</v>
      </c>
      <c r="I460" t="s">
        <v>1071</v>
      </c>
    </row>
    <row r="461" spans="1:9" ht="11.25" customHeight="1">
      <c r="A461" s="1767" t="s">
        <v>2416</v>
      </c>
      <c r="B461" s="1767" t="s">
        <v>16</v>
      </c>
      <c r="C461" t="s">
        <v>3362</v>
      </c>
      <c r="D461" t="s">
        <v>3363</v>
      </c>
      <c r="E461" t="s">
        <v>3364</v>
      </c>
      <c r="F461" t="s">
        <v>2419</v>
      </c>
      <c r="G461" t="s">
        <v>3365</v>
      </c>
      <c r="H461" t="s">
        <v>22</v>
      </c>
      <c r="I461" t="s">
        <v>1071</v>
      </c>
    </row>
    <row r="462" spans="1:9" ht="11.25" customHeight="1">
      <c r="A462" s="1767" t="s">
        <v>2416</v>
      </c>
      <c r="B462" s="1767" t="s">
        <v>16</v>
      </c>
      <c r="C462" t="s">
        <v>3629</v>
      </c>
      <c r="D462" t="s">
        <v>3630</v>
      </c>
      <c r="E462" t="s">
        <v>3631</v>
      </c>
      <c r="F462" t="s">
        <v>2419</v>
      </c>
      <c r="G462" t="s">
        <v>3632</v>
      </c>
      <c r="H462" t="s">
        <v>22</v>
      </c>
      <c r="I462" t="s">
        <v>1071</v>
      </c>
    </row>
    <row r="463" spans="1:9" ht="11.25" customHeight="1">
      <c r="A463" s="1767" t="s">
        <v>2416</v>
      </c>
      <c r="B463" s="1767" t="s">
        <v>16</v>
      </c>
      <c r="C463" t="s">
        <v>2656</v>
      </c>
      <c r="D463" t="s">
        <v>2657</v>
      </c>
      <c r="E463" t="s">
        <v>2658</v>
      </c>
      <c r="F463" t="s">
        <v>2659</v>
      </c>
      <c r="G463" t="s">
        <v>2544</v>
      </c>
      <c r="H463" t="s">
        <v>22</v>
      </c>
      <c r="I463" t="s">
        <v>1071</v>
      </c>
    </row>
    <row r="464" spans="1:9" ht="11.25" customHeight="1">
      <c r="A464" s="1767" t="s">
        <v>2416</v>
      </c>
      <c r="B464" s="1767" t="s">
        <v>16</v>
      </c>
      <c r="C464" t="s">
        <v>2660</v>
      </c>
      <c r="D464" t="s">
        <v>2661</v>
      </c>
      <c r="E464" t="s">
        <v>2662</v>
      </c>
      <c r="F464" t="s">
        <v>2614</v>
      </c>
      <c r="G464" t="s">
        <v>2663</v>
      </c>
      <c r="H464" t="s">
        <v>22</v>
      </c>
      <c r="I464" t="s">
        <v>1071</v>
      </c>
    </row>
    <row r="465" spans="1:9" ht="11.25" customHeight="1">
      <c r="A465" s="1767" t="s">
        <v>2416</v>
      </c>
      <c r="B465" s="1767" t="s">
        <v>16</v>
      </c>
      <c r="C465" t="s">
        <v>2667</v>
      </c>
      <c r="D465" t="s">
        <v>2668</v>
      </c>
      <c r="E465" t="s">
        <v>2669</v>
      </c>
      <c r="F465" t="s">
        <v>2614</v>
      </c>
      <c r="G465" t="s">
        <v>2670</v>
      </c>
      <c r="H465" t="s">
        <v>2671</v>
      </c>
      <c r="I465" t="s">
        <v>1071</v>
      </c>
    </row>
    <row r="466" spans="1:9" ht="11.25" customHeight="1">
      <c r="A466" s="1767" t="s">
        <v>2416</v>
      </c>
      <c r="B466" s="1767" t="s">
        <v>16</v>
      </c>
      <c r="C466" t="s">
        <v>3366</v>
      </c>
      <c r="D466" t="s">
        <v>3367</v>
      </c>
      <c r="E466" t="s">
        <v>3368</v>
      </c>
      <c r="F466" t="s">
        <v>2481</v>
      </c>
      <c r="G466" t="s">
        <v>3369</v>
      </c>
      <c r="H466" t="s">
        <v>22</v>
      </c>
      <c r="I466" t="s">
        <v>1071</v>
      </c>
    </row>
    <row r="467" spans="1:9" ht="11.25" customHeight="1">
      <c r="A467" s="1767" t="s">
        <v>2416</v>
      </c>
      <c r="B467" s="1767" t="s">
        <v>16</v>
      </c>
      <c r="C467" t="s">
        <v>2672</v>
      </c>
      <c r="D467" t="s">
        <v>2673</v>
      </c>
      <c r="E467" t="s">
        <v>2674</v>
      </c>
      <c r="F467" t="s">
        <v>2618</v>
      </c>
      <c r="G467" t="s">
        <v>2675</v>
      </c>
      <c r="H467" t="s">
        <v>22</v>
      </c>
      <c r="I467" t="s">
        <v>1071</v>
      </c>
    </row>
    <row r="468" spans="1:9" ht="11.25" customHeight="1">
      <c r="A468" s="1767" t="s">
        <v>2416</v>
      </c>
      <c r="B468" s="1767" t="s">
        <v>16</v>
      </c>
      <c r="C468" t="s">
        <v>2676</v>
      </c>
      <c r="D468" t="s">
        <v>2677</v>
      </c>
      <c r="E468" t="s">
        <v>2678</v>
      </c>
      <c r="F468" t="s">
        <v>2679</v>
      </c>
      <c r="G468" t="s">
        <v>2610</v>
      </c>
      <c r="H468" t="s">
        <v>22</v>
      </c>
      <c r="I468" t="s">
        <v>1071</v>
      </c>
    </row>
    <row r="469" spans="1:9" ht="11.25" customHeight="1">
      <c r="A469" s="1767" t="s">
        <v>2416</v>
      </c>
      <c r="B469" s="1767" t="s">
        <v>16</v>
      </c>
      <c r="C469" t="s">
        <v>3374</v>
      </c>
      <c r="D469" t="s">
        <v>3375</v>
      </c>
      <c r="E469" t="s">
        <v>3376</v>
      </c>
      <c r="F469" t="s">
        <v>2691</v>
      </c>
      <c r="G469" t="s">
        <v>3377</v>
      </c>
      <c r="H469" t="s">
        <v>22</v>
      </c>
      <c r="I469" t="s">
        <v>1071</v>
      </c>
    </row>
    <row r="470" spans="1:9" ht="11.25" customHeight="1">
      <c r="A470" s="1767" t="s">
        <v>2416</v>
      </c>
      <c r="B470" s="1767" t="s">
        <v>16</v>
      </c>
      <c r="C470" t="s">
        <v>2688</v>
      </c>
      <c r="D470" t="s">
        <v>2689</v>
      </c>
      <c r="E470" t="s">
        <v>2690</v>
      </c>
      <c r="F470" t="s">
        <v>2691</v>
      </c>
      <c r="G470" t="s">
        <v>2692</v>
      </c>
      <c r="H470" t="s">
        <v>2693</v>
      </c>
      <c r="I470" t="s">
        <v>1071</v>
      </c>
    </row>
    <row r="471" spans="1:9" ht="11.25" customHeight="1">
      <c r="A471" s="1767" t="s">
        <v>2416</v>
      </c>
      <c r="B471" s="1767" t="s">
        <v>16</v>
      </c>
      <c r="C471" t="s">
        <v>3378</v>
      </c>
      <c r="D471" t="s">
        <v>3379</v>
      </c>
      <c r="E471" t="s">
        <v>3380</v>
      </c>
      <c r="F471" t="s">
        <v>2614</v>
      </c>
      <c r="G471" t="s">
        <v>3381</v>
      </c>
      <c r="H471" t="s">
        <v>22</v>
      </c>
      <c r="I471" t="s">
        <v>1071</v>
      </c>
    </row>
    <row r="472" spans="1:9" ht="11.25" customHeight="1">
      <c r="A472" s="1767" t="s">
        <v>2416</v>
      </c>
      <c r="B472" s="1767" t="s">
        <v>16</v>
      </c>
      <c r="C472" t="s">
        <v>3382</v>
      </c>
      <c r="D472" t="s">
        <v>3383</v>
      </c>
      <c r="E472" t="s">
        <v>3384</v>
      </c>
      <c r="F472" t="s">
        <v>3081</v>
      </c>
      <c r="G472" t="s">
        <v>3385</v>
      </c>
      <c r="H472" t="s">
        <v>22</v>
      </c>
      <c r="I472" t="s">
        <v>1071</v>
      </c>
    </row>
    <row r="473" spans="1:9" ht="11.25" customHeight="1">
      <c r="A473" s="1767" t="s">
        <v>2416</v>
      </c>
      <c r="B473" s="1767" t="s">
        <v>16</v>
      </c>
      <c r="C473" t="s">
        <v>3386</v>
      </c>
      <c r="D473" t="s">
        <v>3387</v>
      </c>
      <c r="E473" t="s">
        <v>3388</v>
      </c>
      <c r="F473" t="s">
        <v>2609</v>
      </c>
      <c r="G473" t="s">
        <v>3389</v>
      </c>
      <c r="H473" t="s">
        <v>22</v>
      </c>
      <c r="I473" t="s">
        <v>1071</v>
      </c>
    </row>
    <row r="474" spans="1:9" ht="11.25" customHeight="1">
      <c r="A474" s="1767" t="s">
        <v>2416</v>
      </c>
      <c r="B474" s="1767" t="s">
        <v>16</v>
      </c>
      <c r="C474" t="s">
        <v>3390</v>
      </c>
      <c r="D474" t="s">
        <v>3391</v>
      </c>
      <c r="E474" t="s">
        <v>3392</v>
      </c>
      <c r="F474" t="s">
        <v>2419</v>
      </c>
      <c r="G474" t="s">
        <v>22</v>
      </c>
      <c r="H474" t="s">
        <v>22</v>
      </c>
      <c r="I474" t="s">
        <v>1071</v>
      </c>
    </row>
    <row r="475" spans="1:9" ht="11.25" customHeight="1">
      <c r="A475" s="1767" t="s">
        <v>2416</v>
      </c>
      <c r="B475" s="1767" t="s">
        <v>16</v>
      </c>
      <c r="C475" t="s">
        <v>3633</v>
      </c>
      <c r="D475" t="s">
        <v>3634</v>
      </c>
      <c r="E475" t="s">
        <v>3635</v>
      </c>
      <c r="F475" t="s">
        <v>2419</v>
      </c>
      <c r="G475" t="s">
        <v>3636</v>
      </c>
      <c r="H475" t="s">
        <v>22</v>
      </c>
      <c r="I475" t="s">
        <v>1071</v>
      </c>
    </row>
    <row r="476" spans="1:9" ht="11.25" customHeight="1">
      <c r="A476" s="1767" t="s">
        <v>2416</v>
      </c>
      <c r="B476" s="1767" t="s">
        <v>16</v>
      </c>
      <c r="C476" t="s">
        <v>3393</v>
      </c>
      <c r="D476" t="s">
        <v>3394</v>
      </c>
      <c r="E476" t="s">
        <v>3395</v>
      </c>
      <c r="F476" t="s">
        <v>2419</v>
      </c>
      <c r="G476" t="s">
        <v>3396</v>
      </c>
      <c r="H476" t="s">
        <v>22</v>
      </c>
      <c r="I476" t="s">
        <v>1071</v>
      </c>
    </row>
    <row r="477" spans="1:9" ht="11.25" customHeight="1">
      <c r="A477" s="1767" t="s">
        <v>2416</v>
      </c>
      <c r="B477" s="1767" t="s">
        <v>16</v>
      </c>
      <c r="C477" t="s">
        <v>3397</v>
      </c>
      <c r="D477" t="s">
        <v>3398</v>
      </c>
      <c r="E477" t="s">
        <v>3399</v>
      </c>
      <c r="F477" t="s">
        <v>2471</v>
      </c>
      <c r="G477" t="s">
        <v>3400</v>
      </c>
      <c r="H477" t="s">
        <v>22</v>
      </c>
      <c r="I477" t="s">
        <v>1071</v>
      </c>
    </row>
    <row r="478" spans="1:9" ht="11.25" customHeight="1">
      <c r="A478" s="1767" t="s">
        <v>2416</v>
      </c>
      <c r="B478" s="1767" t="s">
        <v>16</v>
      </c>
      <c r="C478" t="s">
        <v>3401</v>
      </c>
      <c r="D478" t="s">
        <v>3402</v>
      </c>
      <c r="E478" t="s">
        <v>3403</v>
      </c>
      <c r="F478" t="s">
        <v>2471</v>
      </c>
      <c r="G478" t="s">
        <v>3404</v>
      </c>
      <c r="H478" t="s">
        <v>22</v>
      </c>
      <c r="I478" t="s">
        <v>1071</v>
      </c>
    </row>
    <row r="479" spans="1:9" ht="11.25" customHeight="1">
      <c r="A479" s="1767" t="s">
        <v>2416</v>
      </c>
      <c r="B479" s="1767" t="s">
        <v>16</v>
      </c>
      <c r="C479" t="s">
        <v>2736</v>
      </c>
      <c r="D479" t="s">
        <v>2737</v>
      </c>
      <c r="E479" t="s">
        <v>2738</v>
      </c>
      <c r="F479" t="s">
        <v>2609</v>
      </c>
      <c r="G479" t="s">
        <v>2739</v>
      </c>
      <c r="H479" t="s">
        <v>22</v>
      </c>
      <c r="I479" t="s">
        <v>1071</v>
      </c>
    </row>
    <row r="480" spans="1:9" ht="11.25" customHeight="1">
      <c r="A480" s="1767" t="s">
        <v>2416</v>
      </c>
      <c r="B480" s="1767" t="s">
        <v>16</v>
      </c>
      <c r="C480" t="s">
        <v>2740</v>
      </c>
      <c r="D480" t="s">
        <v>2741</v>
      </c>
      <c r="E480" t="s">
        <v>2742</v>
      </c>
      <c r="F480" t="s">
        <v>2679</v>
      </c>
      <c r="G480" t="s">
        <v>2743</v>
      </c>
      <c r="H480" t="s">
        <v>22</v>
      </c>
      <c r="I480" t="s">
        <v>1071</v>
      </c>
    </row>
    <row r="481" spans="1:9" ht="11.25" customHeight="1">
      <c r="A481" s="1767" t="s">
        <v>2416</v>
      </c>
      <c r="B481" s="1767" t="s">
        <v>16</v>
      </c>
      <c r="C481" t="s">
        <v>3637</v>
      </c>
      <c r="D481" t="s">
        <v>3638</v>
      </c>
      <c r="E481" t="s">
        <v>3639</v>
      </c>
      <c r="F481" t="s">
        <v>2419</v>
      </c>
      <c r="G481" t="s">
        <v>3640</v>
      </c>
      <c r="H481" t="s">
        <v>22</v>
      </c>
      <c r="I481" t="s">
        <v>1071</v>
      </c>
    </row>
    <row r="482" spans="1:9" ht="11.25" customHeight="1">
      <c r="A482" s="1767" t="s">
        <v>2416</v>
      </c>
      <c r="B482" s="1767" t="s">
        <v>16</v>
      </c>
      <c r="C482" t="s">
        <v>3641</v>
      </c>
      <c r="D482" t="s">
        <v>3642</v>
      </c>
      <c r="E482" t="s">
        <v>3643</v>
      </c>
      <c r="F482" t="s">
        <v>2780</v>
      </c>
      <c r="G482" t="s">
        <v>3644</v>
      </c>
      <c r="H482" t="s">
        <v>22</v>
      </c>
      <c r="I482" t="s">
        <v>1071</v>
      </c>
    </row>
    <row r="483" spans="1:9" ht="11.25" customHeight="1">
      <c r="A483" s="1767" t="s">
        <v>2416</v>
      </c>
      <c r="B483" s="1767" t="s">
        <v>16</v>
      </c>
      <c r="C483" t="s">
        <v>3645</v>
      </c>
      <c r="D483" t="s">
        <v>3646</v>
      </c>
      <c r="E483" t="s">
        <v>3647</v>
      </c>
      <c r="F483" t="s">
        <v>2419</v>
      </c>
      <c r="G483" t="s">
        <v>3648</v>
      </c>
      <c r="H483" t="s">
        <v>22</v>
      </c>
      <c r="I483" t="s">
        <v>1071</v>
      </c>
    </row>
    <row r="484" spans="1:9" ht="11.25" customHeight="1">
      <c r="A484" s="1767" t="s">
        <v>2416</v>
      </c>
      <c r="B484" s="1767" t="s">
        <v>16</v>
      </c>
      <c r="C484" t="s">
        <v>3409</v>
      </c>
      <c r="D484" t="s">
        <v>3410</v>
      </c>
      <c r="E484" t="s">
        <v>3411</v>
      </c>
      <c r="F484" t="s">
        <v>2419</v>
      </c>
      <c r="G484" t="s">
        <v>3412</v>
      </c>
      <c r="H484" t="s">
        <v>22</v>
      </c>
      <c r="I484" t="s">
        <v>1071</v>
      </c>
    </row>
    <row r="485" spans="1:9" ht="11.25" customHeight="1">
      <c r="A485" s="1767" t="s">
        <v>2416</v>
      </c>
      <c r="B485" s="1767" t="s">
        <v>16</v>
      </c>
      <c r="C485" t="s">
        <v>2761</v>
      </c>
      <c r="D485" t="s">
        <v>2762</v>
      </c>
      <c r="E485" t="s">
        <v>2763</v>
      </c>
      <c r="F485" t="s">
        <v>2519</v>
      </c>
      <c r="G485" t="s">
        <v>2764</v>
      </c>
      <c r="H485" t="s">
        <v>22</v>
      </c>
      <c r="I485" t="s">
        <v>1071</v>
      </c>
    </row>
    <row r="486" spans="1:9" ht="11.25" customHeight="1">
      <c r="A486" s="1767" t="s">
        <v>2416</v>
      </c>
      <c r="B486" s="1767" t="s">
        <v>16</v>
      </c>
      <c r="C486" t="s">
        <v>2765</v>
      </c>
      <c r="D486" t="s">
        <v>2762</v>
      </c>
      <c r="E486" t="s">
        <v>2766</v>
      </c>
      <c r="F486" t="s">
        <v>2767</v>
      </c>
      <c r="G486" t="s">
        <v>2768</v>
      </c>
      <c r="H486" t="s">
        <v>22</v>
      </c>
      <c r="I486" t="s">
        <v>1071</v>
      </c>
    </row>
    <row r="487" spans="1:9" ht="11.25" customHeight="1">
      <c r="A487" s="1767" t="s">
        <v>2416</v>
      </c>
      <c r="B487" s="1767" t="s">
        <v>16</v>
      </c>
      <c r="C487" t="s">
        <v>3413</v>
      </c>
      <c r="D487" t="s">
        <v>2778</v>
      </c>
      <c r="E487" t="s">
        <v>3414</v>
      </c>
      <c r="F487" t="s">
        <v>2490</v>
      </c>
      <c r="G487" t="s">
        <v>3415</v>
      </c>
      <c r="H487" t="s">
        <v>22</v>
      </c>
      <c r="I487" t="s">
        <v>1071</v>
      </c>
    </row>
    <row r="488" spans="1:9" ht="11.25" customHeight="1">
      <c r="A488" s="1767" t="s">
        <v>2416</v>
      </c>
      <c r="B488" s="1767" t="s">
        <v>16</v>
      </c>
      <c r="C488" t="s">
        <v>3420</v>
      </c>
      <c r="D488" t="s">
        <v>3421</v>
      </c>
      <c r="E488" t="s">
        <v>3422</v>
      </c>
      <c r="F488" t="s">
        <v>2419</v>
      </c>
      <c r="G488" t="s">
        <v>3423</v>
      </c>
      <c r="H488" t="s">
        <v>22</v>
      </c>
      <c r="I488" t="s">
        <v>1071</v>
      </c>
    </row>
    <row r="489" spans="1:9" ht="11.25" customHeight="1">
      <c r="A489" s="1767" t="s">
        <v>2416</v>
      </c>
      <c r="B489" s="1767" t="s">
        <v>16</v>
      </c>
      <c r="C489" t="s">
        <v>3424</v>
      </c>
      <c r="D489" t="s">
        <v>3425</v>
      </c>
      <c r="E489" t="s">
        <v>3426</v>
      </c>
      <c r="F489" t="s">
        <v>2419</v>
      </c>
      <c r="G489" t="s">
        <v>3427</v>
      </c>
      <c r="H489" t="s">
        <v>22</v>
      </c>
      <c r="I489" t="s">
        <v>1071</v>
      </c>
    </row>
    <row r="490" spans="1:9" ht="11.25" customHeight="1">
      <c r="A490" s="1767" t="s">
        <v>2416</v>
      </c>
      <c r="B490" s="1767" t="s">
        <v>16</v>
      </c>
      <c r="C490" t="s">
        <v>3428</v>
      </c>
      <c r="D490" t="s">
        <v>3429</v>
      </c>
      <c r="E490" t="s">
        <v>3430</v>
      </c>
      <c r="F490" t="s">
        <v>2519</v>
      </c>
      <c r="G490" t="s">
        <v>3431</v>
      </c>
      <c r="H490" t="s">
        <v>22</v>
      </c>
      <c r="I490" t="s">
        <v>1071</v>
      </c>
    </row>
    <row r="491" spans="1:9" ht="11.25" customHeight="1">
      <c r="A491" s="1767" t="s">
        <v>2416</v>
      </c>
      <c r="B491" s="1767" t="s">
        <v>16</v>
      </c>
      <c r="C491" t="s">
        <v>3432</v>
      </c>
      <c r="D491" t="s">
        <v>3433</v>
      </c>
      <c r="E491" t="s">
        <v>3434</v>
      </c>
      <c r="F491" t="s">
        <v>2893</v>
      </c>
      <c r="G491" t="s">
        <v>3435</v>
      </c>
      <c r="H491" t="s">
        <v>22</v>
      </c>
      <c r="I491" t="s">
        <v>1071</v>
      </c>
    </row>
    <row r="492" spans="1:9" ht="11.25" customHeight="1">
      <c r="A492" s="1767" t="s">
        <v>2416</v>
      </c>
      <c r="B492" s="1767" t="s">
        <v>16</v>
      </c>
      <c r="C492" t="s">
        <v>3649</v>
      </c>
      <c r="D492" t="s">
        <v>3650</v>
      </c>
      <c r="E492" t="s">
        <v>3651</v>
      </c>
      <c r="F492" t="s">
        <v>2419</v>
      </c>
      <c r="G492" t="s">
        <v>3652</v>
      </c>
      <c r="H492" t="s">
        <v>22</v>
      </c>
      <c r="I492" t="s">
        <v>1071</v>
      </c>
    </row>
    <row r="493" spans="1:9" ht="11.25" customHeight="1">
      <c r="A493" s="1767" t="s">
        <v>2416</v>
      </c>
      <c r="B493" s="1767" t="s">
        <v>16</v>
      </c>
      <c r="C493" t="s">
        <v>3436</v>
      </c>
      <c r="D493" t="s">
        <v>3437</v>
      </c>
      <c r="E493" t="s">
        <v>3438</v>
      </c>
      <c r="F493" t="s">
        <v>2519</v>
      </c>
      <c r="G493" t="s">
        <v>3439</v>
      </c>
      <c r="H493" t="s">
        <v>22</v>
      </c>
      <c r="I493" t="s">
        <v>1071</v>
      </c>
    </row>
    <row r="494" spans="1:9" ht="11.25" customHeight="1">
      <c r="A494" s="1767" t="s">
        <v>2416</v>
      </c>
      <c r="B494" s="1767" t="s">
        <v>16</v>
      </c>
      <c r="C494" t="s">
        <v>3440</v>
      </c>
      <c r="D494" t="s">
        <v>3437</v>
      </c>
      <c r="E494" t="s">
        <v>3441</v>
      </c>
      <c r="F494" t="s">
        <v>2519</v>
      </c>
      <c r="G494" t="s">
        <v>3442</v>
      </c>
      <c r="H494" t="s">
        <v>22</v>
      </c>
      <c r="I494" t="s">
        <v>1071</v>
      </c>
    </row>
    <row r="495" spans="1:9" ht="11.25" customHeight="1">
      <c r="A495" s="1767" t="s">
        <v>2416</v>
      </c>
      <c r="B495" s="1767" t="s">
        <v>16</v>
      </c>
      <c r="C495" t="s">
        <v>3443</v>
      </c>
      <c r="D495" t="s">
        <v>3444</v>
      </c>
      <c r="E495" t="s">
        <v>3445</v>
      </c>
      <c r="F495" t="s">
        <v>2755</v>
      </c>
      <c r="G495" t="s">
        <v>3446</v>
      </c>
      <c r="H495" t="s">
        <v>22</v>
      </c>
      <c r="I495" t="s">
        <v>1071</v>
      </c>
    </row>
    <row r="496" spans="1:9" ht="11.25" customHeight="1">
      <c r="A496" s="1767" t="s">
        <v>2416</v>
      </c>
      <c r="B496" s="1767" t="s">
        <v>16</v>
      </c>
      <c r="C496" t="s">
        <v>2795</v>
      </c>
      <c r="D496" t="s">
        <v>2796</v>
      </c>
      <c r="E496" t="s">
        <v>2797</v>
      </c>
      <c r="F496" t="s">
        <v>2519</v>
      </c>
      <c r="G496" t="s">
        <v>22</v>
      </c>
      <c r="H496" t="s">
        <v>22</v>
      </c>
      <c r="I496" t="s">
        <v>1071</v>
      </c>
    </row>
    <row r="497" spans="1:9" ht="11.25" customHeight="1">
      <c r="A497" s="1767" t="s">
        <v>2416</v>
      </c>
      <c r="B497" s="1767" t="s">
        <v>16</v>
      </c>
      <c r="C497" t="s">
        <v>2798</v>
      </c>
      <c r="D497" t="s">
        <v>2799</v>
      </c>
      <c r="E497" t="s">
        <v>2800</v>
      </c>
      <c r="F497" t="s">
        <v>2650</v>
      </c>
      <c r="G497" t="s">
        <v>2801</v>
      </c>
      <c r="H497" t="s">
        <v>22</v>
      </c>
      <c r="I497" t="s">
        <v>1071</v>
      </c>
    </row>
    <row r="498" spans="1:9" ht="11.25" customHeight="1">
      <c r="A498" s="1767" t="s">
        <v>2416</v>
      </c>
      <c r="B498" s="1767" t="s">
        <v>16</v>
      </c>
      <c r="C498" t="s">
        <v>2811</v>
      </c>
      <c r="D498" t="s">
        <v>2812</v>
      </c>
      <c r="E498" t="s">
        <v>2808</v>
      </c>
      <c r="F498" t="s">
        <v>2813</v>
      </c>
      <c r="G498" t="s">
        <v>2810</v>
      </c>
      <c r="H498" t="s">
        <v>22</v>
      </c>
      <c r="I498" t="s">
        <v>1071</v>
      </c>
    </row>
    <row r="499" spans="1:9" ht="11.25" customHeight="1">
      <c r="A499" s="1767" t="s">
        <v>2416</v>
      </c>
      <c r="B499" s="1767" t="s">
        <v>16</v>
      </c>
      <c r="C499" t="s">
        <v>3451</v>
      </c>
      <c r="D499" t="s">
        <v>3452</v>
      </c>
      <c r="E499" t="s">
        <v>3453</v>
      </c>
      <c r="F499" t="s">
        <v>2490</v>
      </c>
      <c r="G499" t="s">
        <v>3454</v>
      </c>
      <c r="H499" t="s">
        <v>22</v>
      </c>
      <c r="I499" t="s">
        <v>1071</v>
      </c>
    </row>
    <row r="500" spans="1:9" ht="11.25" customHeight="1">
      <c r="A500" s="1767" t="s">
        <v>2416</v>
      </c>
      <c r="B500" s="1767" t="s">
        <v>16</v>
      </c>
      <c r="C500" t="s">
        <v>3455</v>
      </c>
      <c r="D500" t="s">
        <v>3456</v>
      </c>
      <c r="E500" t="s">
        <v>3457</v>
      </c>
      <c r="F500" t="s">
        <v>2618</v>
      </c>
      <c r="G500" t="s">
        <v>3458</v>
      </c>
      <c r="H500" t="s">
        <v>22</v>
      </c>
      <c r="I500" t="s">
        <v>1071</v>
      </c>
    </row>
    <row r="501" spans="1:9" ht="11.25" customHeight="1">
      <c r="A501" s="1767" t="s">
        <v>2416</v>
      </c>
      <c r="B501" s="1767" t="s">
        <v>16</v>
      </c>
      <c r="C501" t="s">
        <v>3340</v>
      </c>
      <c r="D501" t="s">
        <v>3341</v>
      </c>
      <c r="E501" t="s">
        <v>3342</v>
      </c>
      <c r="F501" t="s">
        <v>2419</v>
      </c>
      <c r="G501" t="s">
        <v>3343</v>
      </c>
      <c r="H501" t="s">
        <v>22</v>
      </c>
      <c r="I501" t="s">
        <v>1071</v>
      </c>
    </row>
    <row r="502" spans="1:9" ht="11.25" customHeight="1">
      <c r="A502" s="1767" t="s">
        <v>2416</v>
      </c>
      <c r="B502" s="1767" t="s">
        <v>16</v>
      </c>
      <c r="C502" t="s">
        <v>2814</v>
      </c>
      <c r="D502" t="s">
        <v>2815</v>
      </c>
      <c r="E502" t="s">
        <v>2816</v>
      </c>
      <c r="F502" t="s">
        <v>2419</v>
      </c>
      <c r="G502" t="s">
        <v>2817</v>
      </c>
      <c r="H502" t="s">
        <v>22</v>
      </c>
      <c r="I502" t="s">
        <v>1071</v>
      </c>
    </row>
    <row r="503" spans="1:9" ht="11.25" customHeight="1">
      <c r="A503" s="1767" t="s">
        <v>2416</v>
      </c>
      <c r="B503" s="1767" t="s">
        <v>16</v>
      </c>
      <c r="C503" t="s">
        <v>3459</v>
      </c>
      <c r="D503" t="s">
        <v>3460</v>
      </c>
      <c r="E503" t="s">
        <v>3461</v>
      </c>
      <c r="F503" t="s">
        <v>2596</v>
      </c>
      <c r="G503" t="s">
        <v>3462</v>
      </c>
      <c r="H503" t="s">
        <v>22</v>
      </c>
      <c r="I503" t="s">
        <v>1071</v>
      </c>
    </row>
    <row r="504" spans="1:9" ht="11.25" customHeight="1">
      <c r="A504" s="1767" t="s">
        <v>2416</v>
      </c>
      <c r="B504" s="1767" t="s">
        <v>16</v>
      </c>
      <c r="C504" t="s">
        <v>2818</v>
      </c>
      <c r="D504" t="s">
        <v>2819</v>
      </c>
      <c r="E504" t="s">
        <v>2820</v>
      </c>
      <c r="F504" t="s">
        <v>2419</v>
      </c>
      <c r="G504" t="s">
        <v>2821</v>
      </c>
      <c r="H504" t="s">
        <v>22</v>
      </c>
      <c r="I504" t="s">
        <v>1071</v>
      </c>
    </row>
    <row r="505" spans="1:9" ht="11.25" customHeight="1">
      <c r="A505" s="1767" t="s">
        <v>2416</v>
      </c>
      <c r="B505" s="1767" t="s">
        <v>16</v>
      </c>
      <c r="C505" t="s">
        <v>2822</v>
      </c>
      <c r="D505" t="s">
        <v>2823</v>
      </c>
      <c r="E505" t="s">
        <v>2824</v>
      </c>
      <c r="F505" t="s">
        <v>2691</v>
      </c>
      <c r="G505" t="s">
        <v>2825</v>
      </c>
      <c r="H505" t="s">
        <v>22</v>
      </c>
      <c r="I505" t="s">
        <v>1071</v>
      </c>
    </row>
    <row r="506" spans="1:9" ht="11.25" customHeight="1">
      <c r="A506" s="1767" t="s">
        <v>2416</v>
      </c>
      <c r="B506" s="1767" t="s">
        <v>16</v>
      </c>
      <c r="C506" t="s">
        <v>2830</v>
      </c>
      <c r="D506" t="s">
        <v>2831</v>
      </c>
      <c r="E506" t="s">
        <v>2832</v>
      </c>
      <c r="F506" t="s">
        <v>2650</v>
      </c>
      <c r="G506" t="s">
        <v>2833</v>
      </c>
      <c r="H506" t="s">
        <v>22</v>
      </c>
      <c r="I506" t="s">
        <v>1071</v>
      </c>
    </row>
    <row r="507" spans="1:9" ht="11.25" customHeight="1">
      <c r="A507" s="1767" t="s">
        <v>2416</v>
      </c>
      <c r="B507" s="1767" t="s">
        <v>16</v>
      </c>
      <c r="C507" t="s">
        <v>3463</v>
      </c>
      <c r="D507" t="s">
        <v>3464</v>
      </c>
      <c r="E507" t="s">
        <v>3465</v>
      </c>
      <c r="F507" t="s">
        <v>2618</v>
      </c>
      <c r="G507" t="s">
        <v>3466</v>
      </c>
      <c r="H507" t="s">
        <v>22</v>
      </c>
      <c r="I507" t="s">
        <v>1071</v>
      </c>
    </row>
    <row r="508" spans="1:9" ht="11.25" customHeight="1">
      <c r="A508" s="1767" t="s">
        <v>2416</v>
      </c>
      <c r="B508" s="1767" t="s">
        <v>16</v>
      </c>
      <c r="C508" t="s">
        <v>3467</v>
      </c>
      <c r="D508" t="s">
        <v>3468</v>
      </c>
      <c r="E508" t="s">
        <v>3469</v>
      </c>
      <c r="F508" t="s">
        <v>2423</v>
      </c>
      <c r="G508" t="s">
        <v>3470</v>
      </c>
      <c r="H508" t="s">
        <v>22</v>
      </c>
      <c r="I508" t="s">
        <v>1071</v>
      </c>
    </row>
    <row r="509" spans="1:9" ht="11.25" customHeight="1">
      <c r="A509" s="1767" t="s">
        <v>2416</v>
      </c>
      <c r="B509" s="1767" t="s">
        <v>16</v>
      </c>
      <c r="C509" t="s">
        <v>3479</v>
      </c>
      <c r="D509" t="s">
        <v>3480</v>
      </c>
      <c r="E509" t="s">
        <v>3481</v>
      </c>
      <c r="F509" t="s">
        <v>2527</v>
      </c>
      <c r="G509" t="s">
        <v>3482</v>
      </c>
      <c r="H509" t="s">
        <v>22</v>
      </c>
      <c r="I509" t="s">
        <v>1071</v>
      </c>
    </row>
    <row r="510" spans="1:9" ht="11.25" customHeight="1">
      <c r="A510" s="1767" t="s">
        <v>2416</v>
      </c>
      <c r="B510" s="1767" t="s">
        <v>16</v>
      </c>
      <c r="C510" t="s">
        <v>3483</v>
      </c>
      <c r="D510" t="s">
        <v>3484</v>
      </c>
      <c r="E510" t="s">
        <v>3485</v>
      </c>
      <c r="F510" t="s">
        <v>2614</v>
      </c>
      <c r="G510" t="s">
        <v>3486</v>
      </c>
      <c r="H510" t="s">
        <v>22</v>
      </c>
      <c r="I510" t="s">
        <v>1071</v>
      </c>
    </row>
    <row r="511" spans="1:9" ht="11.25" customHeight="1">
      <c r="A511" s="1767" t="s">
        <v>2416</v>
      </c>
      <c r="B511" s="1767" t="s">
        <v>16</v>
      </c>
      <c r="C511" t="s">
        <v>3487</v>
      </c>
      <c r="D511" t="s">
        <v>3488</v>
      </c>
      <c r="E511" t="s">
        <v>3489</v>
      </c>
      <c r="F511" t="s">
        <v>3490</v>
      </c>
      <c r="G511" t="s">
        <v>2581</v>
      </c>
      <c r="H511" t="s">
        <v>22</v>
      </c>
      <c r="I511" t="s">
        <v>1071</v>
      </c>
    </row>
    <row r="512" spans="1:9" ht="11.25" customHeight="1">
      <c r="A512" s="1767" t="s">
        <v>2416</v>
      </c>
      <c r="B512" s="1767" t="s">
        <v>16</v>
      </c>
      <c r="C512" t="s">
        <v>3653</v>
      </c>
      <c r="D512" t="s">
        <v>3654</v>
      </c>
      <c r="E512" t="s">
        <v>3655</v>
      </c>
      <c r="F512" t="s">
        <v>2527</v>
      </c>
      <c r="G512" t="s">
        <v>3656</v>
      </c>
      <c r="H512" t="s">
        <v>22</v>
      </c>
      <c r="I512" t="s">
        <v>1071</v>
      </c>
    </row>
    <row r="513" spans="1:9" ht="11.25" customHeight="1">
      <c r="A513" s="1767" t="s">
        <v>2416</v>
      </c>
      <c r="B513" s="1767" t="s">
        <v>16</v>
      </c>
      <c r="C513" t="s">
        <v>3491</v>
      </c>
      <c r="D513" t="s">
        <v>3492</v>
      </c>
      <c r="E513" t="s">
        <v>3493</v>
      </c>
      <c r="F513" t="s">
        <v>2527</v>
      </c>
      <c r="G513" t="s">
        <v>3494</v>
      </c>
      <c r="H513" t="s">
        <v>22</v>
      </c>
      <c r="I513" t="s">
        <v>1071</v>
      </c>
    </row>
    <row r="514" spans="1:9" ht="11.25" customHeight="1">
      <c r="A514" s="1767" t="s">
        <v>2416</v>
      </c>
      <c r="B514" s="1767" t="s">
        <v>16</v>
      </c>
      <c r="C514" t="s">
        <v>2866</v>
      </c>
      <c r="D514" t="s">
        <v>2867</v>
      </c>
      <c r="E514" t="s">
        <v>2868</v>
      </c>
      <c r="F514" t="s">
        <v>2419</v>
      </c>
      <c r="G514" t="s">
        <v>2869</v>
      </c>
      <c r="H514" t="s">
        <v>22</v>
      </c>
      <c r="I514" t="s">
        <v>1071</v>
      </c>
    </row>
    <row r="515" spans="1:9" ht="11.25" customHeight="1">
      <c r="A515" s="1767" t="s">
        <v>2416</v>
      </c>
      <c r="B515" s="1767" t="s">
        <v>16</v>
      </c>
      <c r="C515" t="s">
        <v>3495</v>
      </c>
      <c r="D515" t="s">
        <v>3496</v>
      </c>
      <c r="E515" t="s">
        <v>3497</v>
      </c>
      <c r="F515" t="s">
        <v>2471</v>
      </c>
      <c r="G515" t="s">
        <v>3400</v>
      </c>
      <c r="H515" t="s">
        <v>22</v>
      </c>
      <c r="I515" t="s">
        <v>1071</v>
      </c>
    </row>
    <row r="516" spans="1:9" ht="11.25" customHeight="1">
      <c r="A516" s="1767" t="s">
        <v>2416</v>
      </c>
      <c r="B516" s="1767" t="s">
        <v>16</v>
      </c>
      <c r="C516" t="s">
        <v>3657</v>
      </c>
      <c r="D516" t="s">
        <v>3658</v>
      </c>
      <c r="E516" t="s">
        <v>3659</v>
      </c>
      <c r="F516" t="s">
        <v>2614</v>
      </c>
      <c r="G516" t="s">
        <v>3660</v>
      </c>
      <c r="H516" t="s">
        <v>22</v>
      </c>
      <c r="I516" t="s">
        <v>1071</v>
      </c>
    </row>
    <row r="517" spans="1:9" ht="11.25" customHeight="1">
      <c r="A517" s="1767" t="s">
        <v>2416</v>
      </c>
      <c r="B517" s="1767" t="s">
        <v>16</v>
      </c>
      <c r="C517" t="s">
        <v>2894</v>
      </c>
      <c r="D517" t="s">
        <v>2895</v>
      </c>
      <c r="E517" t="s">
        <v>2896</v>
      </c>
      <c r="F517" t="s">
        <v>2767</v>
      </c>
      <c r="G517" t="s">
        <v>2897</v>
      </c>
      <c r="H517" t="s">
        <v>22</v>
      </c>
      <c r="I517" t="s">
        <v>1071</v>
      </c>
    </row>
    <row r="518" spans="1:9" ht="11.25" customHeight="1">
      <c r="A518" s="1767" t="s">
        <v>2416</v>
      </c>
      <c r="B518" s="1767" t="s">
        <v>16</v>
      </c>
      <c r="C518" t="s">
        <v>3498</v>
      </c>
      <c r="D518" t="s">
        <v>3499</v>
      </c>
      <c r="E518" t="s">
        <v>3500</v>
      </c>
      <c r="F518" t="s">
        <v>2423</v>
      </c>
      <c r="G518" t="s">
        <v>3501</v>
      </c>
      <c r="H518" t="s">
        <v>22</v>
      </c>
      <c r="I518" t="s">
        <v>1071</v>
      </c>
    </row>
    <row r="519" spans="1:9" ht="11.25" customHeight="1">
      <c r="A519" s="1767" t="s">
        <v>2416</v>
      </c>
      <c r="B519" s="1767" t="s">
        <v>16</v>
      </c>
      <c r="C519" t="s">
        <v>2898</v>
      </c>
      <c r="D519" t="s">
        <v>2899</v>
      </c>
      <c r="E519" t="s">
        <v>2900</v>
      </c>
      <c r="F519" t="s">
        <v>2596</v>
      </c>
      <c r="G519" t="s">
        <v>2901</v>
      </c>
      <c r="H519" t="s">
        <v>22</v>
      </c>
      <c r="I519" t="s">
        <v>1071</v>
      </c>
    </row>
    <row r="520" spans="1:9" ht="11.25" customHeight="1">
      <c r="A520" s="1767" t="s">
        <v>2416</v>
      </c>
      <c r="B520" s="1767" t="s">
        <v>16</v>
      </c>
      <c r="C520" t="s">
        <v>2910</v>
      </c>
      <c r="D520" t="s">
        <v>2911</v>
      </c>
      <c r="E520" t="s">
        <v>2912</v>
      </c>
      <c r="F520" t="s">
        <v>2691</v>
      </c>
      <c r="G520" t="s">
        <v>2913</v>
      </c>
      <c r="H520" t="s">
        <v>22</v>
      </c>
      <c r="I520" t="s">
        <v>1071</v>
      </c>
    </row>
    <row r="521" spans="1:9" ht="11.25" customHeight="1">
      <c r="A521" s="1767" t="s">
        <v>2416</v>
      </c>
      <c r="B521" s="1767" t="s">
        <v>16</v>
      </c>
      <c r="C521" t="s">
        <v>3661</v>
      </c>
      <c r="D521" t="s">
        <v>3662</v>
      </c>
      <c r="E521" t="s">
        <v>3663</v>
      </c>
      <c r="F521" t="s">
        <v>2780</v>
      </c>
      <c r="G521" t="s">
        <v>3664</v>
      </c>
      <c r="H521" t="s">
        <v>22</v>
      </c>
      <c r="I521" t="s">
        <v>1071</v>
      </c>
    </row>
    <row r="522" spans="1:9" ht="11.25" customHeight="1">
      <c r="A522" s="1767" t="s">
        <v>2416</v>
      </c>
      <c r="B522" s="1767" t="s">
        <v>16</v>
      </c>
      <c r="C522" t="s">
        <v>3502</v>
      </c>
      <c r="D522" t="s">
        <v>3503</v>
      </c>
      <c r="E522" t="s">
        <v>3504</v>
      </c>
      <c r="F522" t="s">
        <v>2423</v>
      </c>
      <c r="G522" t="s">
        <v>3505</v>
      </c>
      <c r="H522" t="s">
        <v>22</v>
      </c>
      <c r="I522" t="s">
        <v>1071</v>
      </c>
    </row>
    <row r="523" spans="1:9" ht="11.25" customHeight="1">
      <c r="A523" s="1767" t="s">
        <v>2416</v>
      </c>
      <c r="B523" s="1767" t="s">
        <v>16</v>
      </c>
      <c r="C523" t="s">
        <v>3665</v>
      </c>
      <c r="D523" t="s">
        <v>3666</v>
      </c>
      <c r="E523" t="s">
        <v>3667</v>
      </c>
      <c r="F523" t="s">
        <v>2490</v>
      </c>
      <c r="G523" t="s">
        <v>3668</v>
      </c>
      <c r="H523" t="s">
        <v>22</v>
      </c>
      <c r="I523" t="s">
        <v>1071</v>
      </c>
    </row>
    <row r="524" spans="1:9" ht="11.25" customHeight="1">
      <c r="A524" s="1767" t="s">
        <v>2416</v>
      </c>
      <c r="B524" s="1767" t="s">
        <v>16</v>
      </c>
      <c r="C524" t="s">
        <v>3509</v>
      </c>
      <c r="D524" t="s">
        <v>3510</v>
      </c>
      <c r="E524" t="s">
        <v>3511</v>
      </c>
      <c r="F524" t="s">
        <v>2423</v>
      </c>
      <c r="G524" t="s">
        <v>3512</v>
      </c>
      <c r="H524" t="s">
        <v>22</v>
      </c>
      <c r="I524" t="s">
        <v>1071</v>
      </c>
    </row>
    <row r="525" spans="1:9" ht="11.25" customHeight="1">
      <c r="A525" s="1767" t="s">
        <v>2416</v>
      </c>
      <c r="B525" s="1767" t="s">
        <v>16</v>
      </c>
      <c r="C525" t="s">
        <v>3513</v>
      </c>
      <c r="D525" t="s">
        <v>3514</v>
      </c>
      <c r="E525" t="s">
        <v>3515</v>
      </c>
      <c r="F525" t="s">
        <v>2481</v>
      </c>
      <c r="G525" t="s">
        <v>3516</v>
      </c>
      <c r="H525" t="s">
        <v>22</v>
      </c>
      <c r="I525" t="s">
        <v>1071</v>
      </c>
    </row>
    <row r="526" spans="1:9" ht="11.25" customHeight="1">
      <c r="A526" s="1767" t="s">
        <v>2416</v>
      </c>
      <c r="B526" s="1767" t="s">
        <v>16</v>
      </c>
      <c r="C526" t="s">
        <v>3517</v>
      </c>
      <c r="D526" t="s">
        <v>3518</v>
      </c>
      <c r="E526" t="s">
        <v>3519</v>
      </c>
      <c r="F526" t="s">
        <v>2419</v>
      </c>
      <c r="G526" t="s">
        <v>3520</v>
      </c>
      <c r="H526" t="s">
        <v>22</v>
      </c>
      <c r="I526" t="s">
        <v>1071</v>
      </c>
    </row>
    <row r="527" spans="1:9" ht="11.25" customHeight="1">
      <c r="A527" s="1767" t="s">
        <v>2416</v>
      </c>
      <c r="B527" s="1767" t="s">
        <v>16</v>
      </c>
      <c r="C527" t="s">
        <v>3526</v>
      </c>
      <c r="D527" t="s">
        <v>3527</v>
      </c>
      <c r="E527" t="s">
        <v>3528</v>
      </c>
      <c r="F527" t="s">
        <v>2419</v>
      </c>
      <c r="G527" t="s">
        <v>3529</v>
      </c>
      <c r="H527" t="s">
        <v>22</v>
      </c>
      <c r="I527" t="s">
        <v>1071</v>
      </c>
    </row>
    <row r="528" spans="1:9" ht="11.25" customHeight="1">
      <c r="A528" s="1767" t="s">
        <v>2416</v>
      </c>
      <c r="B528" s="1767" t="s">
        <v>16</v>
      </c>
      <c r="C528" t="s">
        <v>3530</v>
      </c>
      <c r="D528" t="s">
        <v>3531</v>
      </c>
      <c r="E528" t="s">
        <v>3532</v>
      </c>
      <c r="F528" t="s">
        <v>2618</v>
      </c>
      <c r="G528" t="s">
        <v>3533</v>
      </c>
      <c r="H528" t="s">
        <v>22</v>
      </c>
      <c r="I528" t="s">
        <v>1071</v>
      </c>
    </row>
    <row r="529" spans="1:9" ht="11.25" customHeight="1">
      <c r="A529" s="1767" t="s">
        <v>2416</v>
      </c>
      <c r="B529" s="1767" t="s">
        <v>16</v>
      </c>
      <c r="C529" t="s">
        <v>2930</v>
      </c>
      <c r="D529" t="s">
        <v>2931</v>
      </c>
      <c r="E529" t="s">
        <v>2932</v>
      </c>
      <c r="F529" t="s">
        <v>2767</v>
      </c>
      <c r="G529" t="s">
        <v>2933</v>
      </c>
      <c r="H529" t="s">
        <v>22</v>
      </c>
      <c r="I529" t="s">
        <v>1071</v>
      </c>
    </row>
    <row r="530" spans="1:9" ht="11.25" customHeight="1">
      <c r="A530" s="1767" t="s">
        <v>2416</v>
      </c>
      <c r="B530" s="1767" t="s">
        <v>16</v>
      </c>
      <c r="C530" t="s">
        <v>3534</v>
      </c>
      <c r="D530" t="s">
        <v>3535</v>
      </c>
      <c r="E530" t="s">
        <v>3536</v>
      </c>
      <c r="F530" t="s">
        <v>2419</v>
      </c>
      <c r="G530" t="s">
        <v>3537</v>
      </c>
      <c r="H530" t="s">
        <v>22</v>
      </c>
      <c r="I530" t="s">
        <v>1071</v>
      </c>
    </row>
    <row r="531" spans="1:9" ht="11.25" customHeight="1">
      <c r="A531" s="1767" t="s">
        <v>2416</v>
      </c>
      <c r="B531" s="1767" t="s">
        <v>16</v>
      </c>
      <c r="C531" t="s">
        <v>3669</v>
      </c>
      <c r="D531" t="s">
        <v>3670</v>
      </c>
      <c r="E531" t="s">
        <v>3671</v>
      </c>
      <c r="F531" t="s">
        <v>2419</v>
      </c>
      <c r="G531" t="s">
        <v>3672</v>
      </c>
      <c r="H531" t="s">
        <v>22</v>
      </c>
      <c r="I531" t="s">
        <v>1071</v>
      </c>
    </row>
    <row r="532" spans="1:9" ht="11.25" customHeight="1">
      <c r="A532" s="1767" t="s">
        <v>2416</v>
      </c>
      <c r="B532" s="1767" t="s">
        <v>16</v>
      </c>
      <c r="C532" t="s">
        <v>2934</v>
      </c>
      <c r="D532" t="s">
        <v>2935</v>
      </c>
      <c r="E532" t="s">
        <v>2936</v>
      </c>
      <c r="F532" t="s">
        <v>2691</v>
      </c>
      <c r="G532" t="s">
        <v>2937</v>
      </c>
      <c r="H532" t="s">
        <v>22</v>
      </c>
      <c r="I532" t="s">
        <v>1071</v>
      </c>
    </row>
    <row r="533" spans="1:9" ht="11.25" customHeight="1">
      <c r="A533" s="1767" t="s">
        <v>2416</v>
      </c>
      <c r="B533" s="1767" t="s">
        <v>16</v>
      </c>
      <c r="C533" t="s">
        <v>3542</v>
      </c>
      <c r="D533" t="s">
        <v>3543</v>
      </c>
      <c r="E533" t="s">
        <v>3544</v>
      </c>
      <c r="F533" t="s">
        <v>2419</v>
      </c>
      <c r="G533" t="s">
        <v>3545</v>
      </c>
      <c r="H533" t="s">
        <v>22</v>
      </c>
      <c r="I533" t="s">
        <v>1071</v>
      </c>
    </row>
    <row r="534" spans="1:9" ht="11.25" customHeight="1">
      <c r="A534" s="1767" t="s">
        <v>2416</v>
      </c>
      <c r="B534" s="1767" t="s">
        <v>16</v>
      </c>
      <c r="C534" t="s">
        <v>3546</v>
      </c>
      <c r="D534" t="s">
        <v>3547</v>
      </c>
      <c r="E534" t="s">
        <v>3548</v>
      </c>
      <c r="F534" t="s">
        <v>2767</v>
      </c>
      <c r="G534" t="s">
        <v>3549</v>
      </c>
      <c r="H534" t="s">
        <v>22</v>
      </c>
      <c r="I534" t="s">
        <v>1071</v>
      </c>
    </row>
    <row r="535" spans="1:9" ht="11.25" customHeight="1">
      <c r="A535" s="1767" t="s">
        <v>2416</v>
      </c>
      <c r="B535" s="1767" t="s">
        <v>16</v>
      </c>
      <c r="C535" t="s">
        <v>3550</v>
      </c>
      <c r="D535" t="s">
        <v>3551</v>
      </c>
      <c r="E535" t="s">
        <v>3552</v>
      </c>
      <c r="F535" t="s">
        <v>2419</v>
      </c>
      <c r="G535" t="s">
        <v>3553</v>
      </c>
      <c r="H535" t="s">
        <v>22</v>
      </c>
      <c r="I535" t="s">
        <v>1071</v>
      </c>
    </row>
    <row r="536" spans="1:9" ht="11.25" customHeight="1">
      <c r="A536" s="1767" t="s">
        <v>2416</v>
      </c>
      <c r="B536" s="1767" t="s">
        <v>16</v>
      </c>
      <c r="C536" t="s">
        <v>3554</v>
      </c>
      <c r="D536" t="s">
        <v>3555</v>
      </c>
      <c r="E536" t="s">
        <v>3556</v>
      </c>
      <c r="F536" t="s">
        <v>2419</v>
      </c>
      <c r="G536" t="s">
        <v>3557</v>
      </c>
      <c r="H536" t="s">
        <v>22</v>
      </c>
      <c r="I536" t="s">
        <v>1071</v>
      </c>
    </row>
    <row r="537" spans="1:9" ht="11.25" customHeight="1">
      <c r="A537" s="1767" t="s">
        <v>2416</v>
      </c>
      <c r="B537" s="1767" t="s">
        <v>16</v>
      </c>
      <c r="C537" t="s">
        <v>2946</v>
      </c>
      <c r="D537" t="s">
        <v>2947</v>
      </c>
      <c r="E537" t="s">
        <v>2948</v>
      </c>
      <c r="F537" t="s">
        <v>2423</v>
      </c>
      <c r="G537" t="s">
        <v>2949</v>
      </c>
      <c r="H537" t="s">
        <v>22</v>
      </c>
      <c r="I537" t="s">
        <v>1071</v>
      </c>
    </row>
    <row r="538" spans="1:9" ht="11.25" customHeight="1">
      <c r="A538" s="1767" t="s">
        <v>2416</v>
      </c>
      <c r="B538" s="1767" t="s">
        <v>16</v>
      </c>
      <c r="C538" t="s">
        <v>3558</v>
      </c>
      <c r="D538" t="s">
        <v>3559</v>
      </c>
      <c r="E538" t="s">
        <v>3560</v>
      </c>
      <c r="F538" t="s">
        <v>2419</v>
      </c>
      <c r="G538" t="s">
        <v>3561</v>
      </c>
      <c r="H538" t="s">
        <v>22</v>
      </c>
      <c r="I538" t="s">
        <v>1071</v>
      </c>
    </row>
    <row r="539" spans="1:9" ht="11.25" customHeight="1">
      <c r="A539" s="1767" t="s">
        <v>2416</v>
      </c>
      <c r="B539" s="1767" t="s">
        <v>16</v>
      </c>
      <c r="C539" t="s">
        <v>3562</v>
      </c>
      <c r="D539" t="s">
        <v>3563</v>
      </c>
      <c r="E539" t="s">
        <v>3564</v>
      </c>
      <c r="F539" t="s">
        <v>2618</v>
      </c>
      <c r="G539" t="s">
        <v>3565</v>
      </c>
      <c r="H539" t="s">
        <v>22</v>
      </c>
      <c r="I539" t="s">
        <v>1071</v>
      </c>
    </row>
    <row r="540" spans="1:9" ht="11.25" customHeight="1">
      <c r="A540" s="1767" t="s">
        <v>2416</v>
      </c>
      <c r="B540" s="1767" t="s">
        <v>16</v>
      </c>
      <c r="C540" t="s">
        <v>3673</v>
      </c>
      <c r="D540" t="s">
        <v>3674</v>
      </c>
      <c r="E540" t="s">
        <v>3675</v>
      </c>
      <c r="F540" t="s">
        <v>2419</v>
      </c>
      <c r="G540" t="s">
        <v>3676</v>
      </c>
      <c r="H540" t="s">
        <v>22</v>
      </c>
      <c r="I540" t="s">
        <v>1071</v>
      </c>
    </row>
    <row r="541" spans="1:9" ht="11.25" customHeight="1">
      <c r="A541" s="1767" t="s">
        <v>2416</v>
      </c>
      <c r="B541" s="1767" t="s">
        <v>16</v>
      </c>
      <c r="C541" t="s">
        <v>3566</v>
      </c>
      <c r="D541" t="s">
        <v>3567</v>
      </c>
      <c r="E541" t="s">
        <v>3568</v>
      </c>
      <c r="F541" t="s">
        <v>3569</v>
      </c>
      <c r="G541" t="s">
        <v>3570</v>
      </c>
      <c r="H541" t="s">
        <v>22</v>
      </c>
      <c r="I541" t="s">
        <v>1071</v>
      </c>
    </row>
    <row r="542" spans="1:9" ht="11.25" customHeight="1">
      <c r="A542" s="1767" t="s">
        <v>2416</v>
      </c>
      <c r="B542" s="1767" t="s">
        <v>16</v>
      </c>
      <c r="C542" t="s">
        <v>3571</v>
      </c>
      <c r="D542" t="s">
        <v>3572</v>
      </c>
      <c r="E542" t="s">
        <v>3573</v>
      </c>
      <c r="F542" t="s">
        <v>2419</v>
      </c>
      <c r="G542" t="s">
        <v>3574</v>
      </c>
      <c r="H542" t="s">
        <v>22</v>
      </c>
      <c r="I542" t="s">
        <v>1071</v>
      </c>
    </row>
    <row r="543" spans="1:9" ht="11.25" customHeight="1">
      <c r="A543" s="1767" t="s">
        <v>2416</v>
      </c>
      <c r="B543" s="1767" t="s">
        <v>16</v>
      </c>
      <c r="C543" t="s">
        <v>3677</v>
      </c>
      <c r="D543" t="s">
        <v>3678</v>
      </c>
      <c r="E543" t="s">
        <v>3679</v>
      </c>
      <c r="F543" t="s">
        <v>2490</v>
      </c>
      <c r="G543" t="s">
        <v>3680</v>
      </c>
      <c r="H543" t="s">
        <v>22</v>
      </c>
      <c r="I543" t="s">
        <v>1071</v>
      </c>
    </row>
    <row r="544" spans="1:9" ht="11.25" customHeight="1">
      <c r="A544" s="1767" t="s">
        <v>2416</v>
      </c>
      <c r="B544" s="1767" t="s">
        <v>16</v>
      </c>
      <c r="C544" t="s">
        <v>2966</v>
      </c>
      <c r="D544" t="s">
        <v>2967</v>
      </c>
      <c r="E544" t="s">
        <v>2968</v>
      </c>
      <c r="F544" t="s">
        <v>2419</v>
      </c>
      <c r="G544" t="s">
        <v>2969</v>
      </c>
      <c r="H544" t="s">
        <v>22</v>
      </c>
      <c r="I544" t="s">
        <v>1071</v>
      </c>
    </row>
    <row r="545" spans="1:9" ht="11.25" customHeight="1">
      <c r="A545" s="1767" t="s">
        <v>2416</v>
      </c>
      <c r="B545" s="1767" t="s">
        <v>16</v>
      </c>
      <c r="C545" t="s">
        <v>3575</v>
      </c>
      <c r="D545" t="s">
        <v>3576</v>
      </c>
      <c r="E545" t="s">
        <v>3577</v>
      </c>
      <c r="F545" t="s">
        <v>2691</v>
      </c>
      <c r="G545" t="s">
        <v>3578</v>
      </c>
      <c r="H545" t="s">
        <v>22</v>
      </c>
      <c r="I545" t="s">
        <v>1071</v>
      </c>
    </row>
    <row r="546" spans="1:9" ht="11.25" customHeight="1">
      <c r="A546" s="1767" t="s">
        <v>2416</v>
      </c>
      <c r="B546" s="1767" t="s">
        <v>16</v>
      </c>
      <c r="C546" t="s">
        <v>3579</v>
      </c>
      <c r="D546" t="s">
        <v>3580</v>
      </c>
      <c r="E546" t="s">
        <v>3581</v>
      </c>
      <c r="F546" t="s">
        <v>2423</v>
      </c>
      <c r="G546" t="s">
        <v>2853</v>
      </c>
      <c r="H546" t="s">
        <v>22</v>
      </c>
      <c r="I546" t="s">
        <v>1071</v>
      </c>
    </row>
    <row r="547" spans="1:9" ht="11.25" customHeight="1">
      <c r="A547" s="1767" t="s">
        <v>2416</v>
      </c>
      <c r="B547" s="1767" t="s">
        <v>16</v>
      </c>
      <c r="C547" t="s">
        <v>3582</v>
      </c>
      <c r="D547" t="s">
        <v>3583</v>
      </c>
      <c r="E547" t="s">
        <v>3584</v>
      </c>
      <c r="F547" t="s">
        <v>2490</v>
      </c>
      <c r="G547" t="s">
        <v>22</v>
      </c>
      <c r="H547" t="s">
        <v>22</v>
      </c>
      <c r="I547" t="s">
        <v>1071</v>
      </c>
    </row>
    <row r="548" spans="1:9" ht="11.25" customHeight="1">
      <c r="A548" s="1767" t="s">
        <v>2416</v>
      </c>
      <c r="B548" s="1767" t="s">
        <v>16</v>
      </c>
      <c r="C548" t="s">
        <v>2978</v>
      </c>
      <c r="D548" t="s">
        <v>2979</v>
      </c>
      <c r="E548" t="s">
        <v>2980</v>
      </c>
      <c r="F548" t="s">
        <v>2691</v>
      </c>
      <c r="G548" t="s">
        <v>2981</v>
      </c>
      <c r="H548" t="s">
        <v>22</v>
      </c>
      <c r="I548" t="s">
        <v>1071</v>
      </c>
    </row>
    <row r="549" spans="1:9" ht="11.25" customHeight="1">
      <c r="A549" s="1767" t="s">
        <v>2416</v>
      </c>
      <c r="B549" s="1767" t="s">
        <v>16</v>
      </c>
      <c r="C549" t="s">
        <v>2992</v>
      </c>
      <c r="D549" t="s">
        <v>2993</v>
      </c>
      <c r="E549" t="s">
        <v>2994</v>
      </c>
      <c r="F549" t="s">
        <v>2618</v>
      </c>
      <c r="G549" t="s">
        <v>2995</v>
      </c>
      <c r="H549" t="s">
        <v>22</v>
      </c>
      <c r="I549" t="s">
        <v>1071</v>
      </c>
    </row>
    <row r="550" spans="1:9" ht="11.25" customHeight="1">
      <c r="A550" s="1767" t="s">
        <v>2416</v>
      </c>
      <c r="B550" s="1767" t="s">
        <v>16</v>
      </c>
      <c r="C550" t="s">
        <v>2996</v>
      </c>
      <c r="D550" t="s">
        <v>2997</v>
      </c>
      <c r="E550" t="s">
        <v>2998</v>
      </c>
      <c r="F550" t="s">
        <v>2609</v>
      </c>
      <c r="G550" t="s">
        <v>2999</v>
      </c>
      <c r="H550" t="s">
        <v>22</v>
      </c>
      <c r="I550" t="s">
        <v>1071</v>
      </c>
    </row>
    <row r="551" spans="1:9" ht="11.25" customHeight="1">
      <c r="A551" s="1767" t="s">
        <v>2416</v>
      </c>
      <c r="B551" s="1767" t="s">
        <v>16</v>
      </c>
      <c r="C551" t="s">
        <v>3585</v>
      </c>
      <c r="D551" t="s">
        <v>3586</v>
      </c>
      <c r="E551" t="s">
        <v>3587</v>
      </c>
      <c r="F551" t="s">
        <v>2419</v>
      </c>
      <c r="G551" t="s">
        <v>3588</v>
      </c>
      <c r="H551" t="s">
        <v>22</v>
      </c>
      <c r="I551" t="s">
        <v>1071</v>
      </c>
    </row>
    <row r="552" spans="1:9" ht="11.25" customHeight="1">
      <c r="A552" s="1767" t="s">
        <v>2416</v>
      </c>
      <c r="B552" s="1767" t="s">
        <v>16</v>
      </c>
      <c r="C552" t="s">
        <v>3589</v>
      </c>
      <c r="D552" t="s">
        <v>3590</v>
      </c>
      <c r="E552" t="s">
        <v>3591</v>
      </c>
      <c r="F552" t="s">
        <v>2691</v>
      </c>
      <c r="G552" t="s">
        <v>3592</v>
      </c>
      <c r="H552" t="s">
        <v>22</v>
      </c>
      <c r="I552" t="s">
        <v>1071</v>
      </c>
    </row>
    <row r="553" spans="1:9" ht="11.25" customHeight="1">
      <c r="A553" s="1767" t="s">
        <v>2416</v>
      </c>
      <c r="B553" s="1767" t="s">
        <v>16</v>
      </c>
      <c r="C553" t="s">
        <v>3004</v>
      </c>
      <c r="D553" t="s">
        <v>3005</v>
      </c>
      <c r="E553" t="s">
        <v>3006</v>
      </c>
      <c r="F553" t="s">
        <v>2423</v>
      </c>
      <c r="G553" t="s">
        <v>3007</v>
      </c>
      <c r="H553" t="s">
        <v>22</v>
      </c>
      <c r="I553" t="s">
        <v>1071</v>
      </c>
    </row>
    <row r="554" spans="1:9" ht="11.25" customHeight="1">
      <c r="A554" s="1767" t="s">
        <v>2416</v>
      </c>
      <c r="B554" s="1767" t="s">
        <v>16</v>
      </c>
      <c r="C554" t="s">
        <v>3681</v>
      </c>
      <c r="D554" t="s">
        <v>3682</v>
      </c>
      <c r="E554" t="s">
        <v>3683</v>
      </c>
      <c r="F554" t="s">
        <v>2419</v>
      </c>
      <c r="G554" t="s">
        <v>3684</v>
      </c>
      <c r="H554" t="s">
        <v>22</v>
      </c>
      <c r="I554" t="s">
        <v>1071</v>
      </c>
    </row>
    <row r="555" spans="1:9" ht="11.25" customHeight="1">
      <c r="A555" s="1767" t="s">
        <v>2416</v>
      </c>
      <c r="B555" s="1767" t="s">
        <v>16</v>
      </c>
      <c r="C555" t="s">
        <v>3043</v>
      </c>
      <c r="D555" t="s">
        <v>3044</v>
      </c>
      <c r="E555" t="s">
        <v>3045</v>
      </c>
      <c r="F555" t="s">
        <v>2650</v>
      </c>
      <c r="G555" t="s">
        <v>3046</v>
      </c>
      <c r="H555" t="s">
        <v>22</v>
      </c>
      <c r="I555" t="s">
        <v>1071</v>
      </c>
    </row>
    <row r="556" spans="1:9" ht="11.25" customHeight="1">
      <c r="A556" s="1767" t="s">
        <v>2416</v>
      </c>
      <c r="B556" s="1767" t="s">
        <v>16</v>
      </c>
      <c r="C556" t="s">
        <v>3083</v>
      </c>
      <c r="D556" t="s">
        <v>3084</v>
      </c>
      <c r="E556" t="s">
        <v>3085</v>
      </c>
      <c r="F556" t="s">
        <v>2614</v>
      </c>
      <c r="G556" t="s">
        <v>3086</v>
      </c>
      <c r="H556" t="s">
        <v>22</v>
      </c>
      <c r="I556" t="s">
        <v>1071</v>
      </c>
    </row>
    <row r="557" spans="1:9" ht="11.25" customHeight="1">
      <c r="A557" s="1767" t="s">
        <v>2416</v>
      </c>
      <c r="B557" s="1767" t="s">
        <v>16</v>
      </c>
      <c r="C557" t="s">
        <v>3685</v>
      </c>
      <c r="D557" t="s">
        <v>3686</v>
      </c>
      <c r="E557" t="s">
        <v>3687</v>
      </c>
      <c r="F557" t="s">
        <v>2419</v>
      </c>
      <c r="G557" t="s">
        <v>3688</v>
      </c>
      <c r="H557" t="s">
        <v>22</v>
      </c>
      <c r="I557" t="s">
        <v>1071</v>
      </c>
    </row>
    <row r="558" spans="1:9" ht="11.25" customHeight="1">
      <c r="A558" s="1767" t="s">
        <v>2416</v>
      </c>
      <c r="B558" s="1767" t="s">
        <v>16</v>
      </c>
      <c r="C558" t="s">
        <v>3095</v>
      </c>
      <c r="D558" t="s">
        <v>3096</v>
      </c>
      <c r="E558" t="s">
        <v>3097</v>
      </c>
      <c r="F558" t="s">
        <v>3081</v>
      </c>
      <c r="G558" t="s">
        <v>3098</v>
      </c>
      <c r="H558" t="s">
        <v>22</v>
      </c>
      <c r="I558" t="s">
        <v>1071</v>
      </c>
    </row>
    <row r="559" spans="1:9" ht="11.25" customHeight="1">
      <c r="A559" s="1767" t="s">
        <v>2416</v>
      </c>
      <c r="B559" s="1767" t="s">
        <v>16</v>
      </c>
      <c r="C559" t="s">
        <v>3099</v>
      </c>
      <c r="D559" t="s">
        <v>3100</v>
      </c>
      <c r="E559" t="s">
        <v>3101</v>
      </c>
      <c r="F559" t="s">
        <v>2650</v>
      </c>
      <c r="G559" t="s">
        <v>3102</v>
      </c>
      <c r="H559" t="s">
        <v>22</v>
      </c>
      <c r="I559" t="s">
        <v>1071</v>
      </c>
    </row>
    <row r="560" spans="1:9" ht="11.25" customHeight="1">
      <c r="A560" s="1767" t="s">
        <v>2416</v>
      </c>
      <c r="B560" s="1767" t="s">
        <v>16</v>
      </c>
      <c r="C560" t="s">
        <v>3107</v>
      </c>
      <c r="D560" t="s">
        <v>3108</v>
      </c>
      <c r="E560" t="s">
        <v>3109</v>
      </c>
      <c r="F560" t="s">
        <v>2423</v>
      </c>
      <c r="G560" t="s">
        <v>3110</v>
      </c>
      <c r="H560" t="s">
        <v>22</v>
      </c>
      <c r="I560" t="s">
        <v>1071</v>
      </c>
    </row>
    <row r="561" spans="1:9" ht="11.25" customHeight="1">
      <c r="A561" s="1767" t="s">
        <v>2416</v>
      </c>
      <c r="B561" s="1767" t="s">
        <v>16</v>
      </c>
      <c r="C561" t="s">
        <v>3111</v>
      </c>
      <c r="D561" t="s">
        <v>3112</v>
      </c>
      <c r="E561" t="s">
        <v>3113</v>
      </c>
      <c r="F561" t="s">
        <v>2618</v>
      </c>
      <c r="G561" t="s">
        <v>3114</v>
      </c>
      <c r="H561" t="s">
        <v>22</v>
      </c>
      <c r="I561" t="s">
        <v>1071</v>
      </c>
    </row>
    <row r="562" spans="1:9" ht="11.25" customHeight="1">
      <c r="A562" s="1767" t="s">
        <v>2416</v>
      </c>
      <c r="B562" s="1767" t="s">
        <v>16</v>
      </c>
      <c r="C562" t="s">
        <v>3123</v>
      </c>
      <c r="D562" t="s">
        <v>3124</v>
      </c>
      <c r="E562" t="s">
        <v>3125</v>
      </c>
      <c r="F562" t="s">
        <v>2419</v>
      </c>
      <c r="G562" t="s">
        <v>3126</v>
      </c>
      <c r="H562" t="s">
        <v>22</v>
      </c>
      <c r="I562" t="s">
        <v>1071</v>
      </c>
    </row>
    <row r="563" spans="1:9" ht="11.25" customHeight="1">
      <c r="A563" s="1767" t="s">
        <v>2416</v>
      </c>
      <c r="B563" s="1767" t="s">
        <v>16</v>
      </c>
      <c r="C563" t="s">
        <v>3613</v>
      </c>
      <c r="D563" t="s">
        <v>3614</v>
      </c>
      <c r="E563" t="s">
        <v>3615</v>
      </c>
      <c r="F563" t="s">
        <v>2609</v>
      </c>
      <c r="G563" t="s">
        <v>3616</v>
      </c>
      <c r="H563" t="s">
        <v>22</v>
      </c>
      <c r="I563" t="s">
        <v>1071</v>
      </c>
    </row>
    <row r="564" spans="1:9" ht="11.25" customHeight="1">
      <c r="A564" s="1767" t="s">
        <v>2416</v>
      </c>
      <c r="B564" s="1767" t="s">
        <v>16</v>
      </c>
      <c r="C564" t="s">
        <v>3139</v>
      </c>
      <c r="D564" t="s">
        <v>3140</v>
      </c>
      <c r="E564" t="s">
        <v>3141</v>
      </c>
      <c r="F564" t="s">
        <v>2650</v>
      </c>
      <c r="G564" t="s">
        <v>3142</v>
      </c>
      <c r="H564" t="s">
        <v>22</v>
      </c>
      <c r="I564" t="s">
        <v>1071</v>
      </c>
    </row>
    <row r="565" spans="1:9" ht="11.25" customHeight="1">
      <c r="A565" s="1767" t="s">
        <v>2416</v>
      </c>
      <c r="B565" s="1767" t="s">
        <v>16</v>
      </c>
      <c r="C565" t="s">
        <v>3689</v>
      </c>
      <c r="D565" t="s">
        <v>3690</v>
      </c>
      <c r="E565" t="s">
        <v>3691</v>
      </c>
      <c r="F565" t="s">
        <v>2780</v>
      </c>
      <c r="G565" t="s">
        <v>3624</v>
      </c>
      <c r="H565" t="s">
        <v>22</v>
      </c>
      <c r="I565" t="s">
        <v>1071</v>
      </c>
    </row>
    <row r="566" spans="1:9" ht="11.25" customHeight="1">
      <c r="A566" s="1767" t="s">
        <v>2416</v>
      </c>
      <c r="B566" s="1767" t="s">
        <v>16</v>
      </c>
      <c r="C566" t="s">
        <v>3625</v>
      </c>
      <c r="D566" t="s">
        <v>3626</v>
      </c>
      <c r="E566" t="s">
        <v>3627</v>
      </c>
      <c r="F566" t="s">
        <v>2540</v>
      </c>
      <c r="G566" t="s">
        <v>3628</v>
      </c>
      <c r="H566" t="s">
        <v>22</v>
      </c>
      <c r="I566" t="s">
        <v>1071</v>
      </c>
    </row>
    <row r="567" spans="1:9" ht="11.25" customHeight="1">
      <c r="A567" s="1767" t="s">
        <v>2416</v>
      </c>
      <c r="B567" s="1767" t="s">
        <v>16</v>
      </c>
      <c r="C567" t="s">
        <v>3223</v>
      </c>
      <c r="D567" t="s">
        <v>46</v>
      </c>
      <c r="E567" t="s">
        <v>49</v>
      </c>
      <c r="F567" t="s">
        <v>3224</v>
      </c>
      <c r="G567" t="s">
        <v>3225</v>
      </c>
      <c r="H567" t="s">
        <v>22</v>
      </c>
      <c r="I567" t="s">
        <v>1071</v>
      </c>
    </row>
    <row r="568" spans="1:9" ht="11.25" customHeight="1">
      <c r="A568" s="1767" t="s">
        <v>2416</v>
      </c>
      <c r="B568" s="1767" t="s">
        <v>16</v>
      </c>
      <c r="C568" t="s">
        <v>13</v>
      </c>
      <c r="D568" t="s">
        <v>46</v>
      </c>
      <c r="E568" t="s">
        <v>49</v>
      </c>
      <c r="F568" t="s">
        <v>51</v>
      </c>
      <c r="G568" t="s">
        <v>22</v>
      </c>
      <c r="H568" t="s">
        <v>22</v>
      </c>
      <c r="I568" t="s">
        <v>1071</v>
      </c>
    </row>
    <row r="569" spans="1:9" ht="11.25" customHeight="1">
      <c r="A569" s="1767" t="s">
        <v>2416</v>
      </c>
      <c r="B569" s="1767" t="s">
        <v>16</v>
      </c>
      <c r="C569" t="s">
        <v>3231</v>
      </c>
      <c r="D569" t="s">
        <v>3232</v>
      </c>
      <c r="E569" t="s">
        <v>3233</v>
      </c>
      <c r="F569" t="s">
        <v>2609</v>
      </c>
      <c r="G569" t="s">
        <v>3234</v>
      </c>
      <c r="H569" t="s">
        <v>22</v>
      </c>
      <c r="I569" t="s">
        <v>1071</v>
      </c>
    </row>
    <row r="570" spans="1:9" ht="11.25" customHeight="1">
      <c r="A570" s="1767" t="s">
        <v>2416</v>
      </c>
      <c r="B570" s="1767" t="s">
        <v>16</v>
      </c>
      <c r="C570" t="s">
        <v>3239</v>
      </c>
      <c r="D570" t="s">
        <v>3240</v>
      </c>
      <c r="E570" t="s">
        <v>2441</v>
      </c>
      <c r="F570" t="s">
        <v>3241</v>
      </c>
      <c r="G570" t="s">
        <v>2442</v>
      </c>
      <c r="H570" t="s">
        <v>22</v>
      </c>
      <c r="I570" t="s">
        <v>1071</v>
      </c>
    </row>
    <row r="571" spans="1:9" ht="11.25" customHeight="1">
      <c r="A571" s="1767" t="s">
        <v>2416</v>
      </c>
      <c r="B571" s="1767" t="s">
        <v>16</v>
      </c>
      <c r="C571" t="s">
        <v>3250</v>
      </c>
      <c r="D571" t="s">
        <v>3251</v>
      </c>
      <c r="E571" t="s">
        <v>3252</v>
      </c>
      <c r="F571" t="s">
        <v>2490</v>
      </c>
      <c r="G571" t="s">
        <v>2881</v>
      </c>
      <c r="H571" t="s">
        <v>22</v>
      </c>
      <c r="I571" t="s">
        <v>1071</v>
      </c>
    </row>
    <row r="572" spans="1:9" ht="11.25" customHeight="1">
      <c r="A572" s="1767" t="s">
        <v>2416</v>
      </c>
      <c r="B572" s="1767" t="s">
        <v>16</v>
      </c>
      <c r="C572" t="s">
        <v>3260</v>
      </c>
      <c r="D572" t="s">
        <v>3261</v>
      </c>
      <c r="E572" t="s">
        <v>2506</v>
      </c>
      <c r="F572" t="s">
        <v>3262</v>
      </c>
      <c r="G572" t="s">
        <v>22</v>
      </c>
      <c r="H572" t="s">
        <v>22</v>
      </c>
      <c r="I572" t="s">
        <v>1071</v>
      </c>
    </row>
    <row r="573" spans="1:9" ht="11.25" customHeight="1">
      <c r="A573" s="1767" t="s">
        <v>2416</v>
      </c>
      <c r="B573" s="1767" t="s">
        <v>16</v>
      </c>
      <c r="C573" t="s">
        <v>3263</v>
      </c>
      <c r="D573" t="s">
        <v>3264</v>
      </c>
      <c r="E573" t="s">
        <v>3265</v>
      </c>
      <c r="F573" t="s">
        <v>3266</v>
      </c>
      <c r="G573" t="s">
        <v>3267</v>
      </c>
      <c r="H573" t="s">
        <v>22</v>
      </c>
      <c r="I573" t="s">
        <v>1071</v>
      </c>
    </row>
    <row r="574" spans="1:9" ht="11.25" customHeight="1">
      <c r="A574" s="1767" t="s">
        <v>2416</v>
      </c>
      <c r="B574" s="1767" t="s">
        <v>16</v>
      </c>
      <c r="C574" t="s">
        <v>3268</v>
      </c>
      <c r="D574" t="s">
        <v>3269</v>
      </c>
      <c r="E574" t="s">
        <v>3265</v>
      </c>
      <c r="F574" t="s">
        <v>2580</v>
      </c>
      <c r="G574" t="s">
        <v>3270</v>
      </c>
      <c r="H574" t="s">
        <v>22</v>
      </c>
      <c r="I574" t="s">
        <v>1071</v>
      </c>
    </row>
    <row r="575" spans="1:9" ht="11.25" customHeight="1">
      <c r="A575" s="1767" t="s">
        <v>2416</v>
      </c>
      <c r="B575" s="1767" t="s">
        <v>16</v>
      </c>
      <c r="C575" t="s">
        <v>3275</v>
      </c>
      <c r="D575" t="s">
        <v>3276</v>
      </c>
      <c r="E575" t="s">
        <v>2441</v>
      </c>
      <c r="F575" t="s">
        <v>3277</v>
      </c>
      <c r="G575" t="s">
        <v>22</v>
      </c>
      <c r="H575" t="s">
        <v>22</v>
      </c>
      <c r="I575" t="s">
        <v>1071</v>
      </c>
    </row>
    <row r="576" spans="1:9" ht="11.25" customHeight="1">
      <c r="A576" s="1767" t="s">
        <v>2416</v>
      </c>
      <c r="B576" s="1767" t="s">
        <v>16</v>
      </c>
      <c r="C576" t="s">
        <v>3282</v>
      </c>
      <c r="D576" t="s">
        <v>3283</v>
      </c>
      <c r="E576" t="s">
        <v>3284</v>
      </c>
      <c r="F576" t="s">
        <v>3285</v>
      </c>
      <c r="G576" t="s">
        <v>3286</v>
      </c>
      <c r="H576" t="s">
        <v>22</v>
      </c>
      <c r="I576" t="s">
        <v>1071</v>
      </c>
    </row>
    <row r="577" spans="1:9" ht="11.25" customHeight="1">
      <c r="A577" s="1767" t="s">
        <v>2416</v>
      </c>
      <c r="B577" s="1767" t="s">
        <v>16</v>
      </c>
      <c r="C577" t="s">
        <v>3308</v>
      </c>
      <c r="D577" t="s">
        <v>3309</v>
      </c>
      <c r="E577" t="s">
        <v>3310</v>
      </c>
      <c r="F577" t="s">
        <v>2618</v>
      </c>
      <c r="G577" t="s">
        <v>3311</v>
      </c>
      <c r="H577" t="s">
        <v>22</v>
      </c>
      <c r="I577" t="s">
        <v>1071</v>
      </c>
    </row>
    <row r="578" spans="1:9" ht="11.25" customHeight="1">
      <c r="A578" s="1767" t="s">
        <v>2416</v>
      </c>
      <c r="B578" s="1767" t="s">
        <v>16</v>
      </c>
      <c r="C578" t="s">
        <v>22</v>
      </c>
      <c r="D578" t="s">
        <v>2417</v>
      </c>
      <c r="E578" t="s">
        <v>2418</v>
      </c>
      <c r="F578" t="s">
        <v>2419</v>
      </c>
      <c r="G578" t="s">
        <v>22</v>
      </c>
      <c r="H578" t="s">
        <v>22</v>
      </c>
      <c r="I578" t="s">
        <v>1811</v>
      </c>
    </row>
    <row r="579" spans="1:9" ht="11.25" customHeight="1">
      <c r="A579" s="1767" t="s">
        <v>2416</v>
      </c>
      <c r="B579" s="1767" t="s">
        <v>16</v>
      </c>
      <c r="C579" t="s">
        <v>3692</v>
      </c>
      <c r="D579" t="s">
        <v>3693</v>
      </c>
      <c r="E579" t="s">
        <v>3694</v>
      </c>
      <c r="F579" t="s">
        <v>2419</v>
      </c>
      <c r="G579" t="s">
        <v>22</v>
      </c>
      <c r="H579" t="s">
        <v>22</v>
      </c>
      <c r="I579" t="s">
        <v>1811</v>
      </c>
    </row>
    <row r="580" spans="1:9" ht="11.25" customHeight="1">
      <c r="A580" s="1767" t="s">
        <v>2416</v>
      </c>
      <c r="B580" s="1767" t="s">
        <v>16</v>
      </c>
      <c r="C580" t="s">
        <v>3695</v>
      </c>
      <c r="D580" t="s">
        <v>3696</v>
      </c>
      <c r="E580" t="s">
        <v>3697</v>
      </c>
      <c r="F580" t="s">
        <v>600</v>
      </c>
      <c r="G580" t="s">
        <v>22</v>
      </c>
      <c r="H580" t="s">
        <v>22</v>
      </c>
      <c r="I580" t="s">
        <v>1811</v>
      </c>
    </row>
    <row r="581" spans="1:9" ht="11.25" customHeight="1">
      <c r="A581" s="1767" t="s">
        <v>2416</v>
      </c>
      <c r="B581" s="1767" t="s">
        <v>16</v>
      </c>
      <c r="C581" t="s">
        <v>3698</v>
      </c>
      <c r="D581" t="s">
        <v>3699</v>
      </c>
      <c r="E581" t="s">
        <v>3700</v>
      </c>
      <c r="F581" t="s">
        <v>600</v>
      </c>
      <c r="G581" t="s">
        <v>3701</v>
      </c>
      <c r="H581" t="s">
        <v>22</v>
      </c>
      <c r="I581" t="s">
        <v>1811</v>
      </c>
    </row>
    <row r="582" spans="1:9" ht="11.25" customHeight="1">
      <c r="A582" s="1767" t="s">
        <v>2416</v>
      </c>
      <c r="B582" s="1767" t="s">
        <v>16</v>
      </c>
      <c r="C582" t="s">
        <v>3702</v>
      </c>
      <c r="D582" t="s">
        <v>3703</v>
      </c>
      <c r="E582" t="s">
        <v>3704</v>
      </c>
      <c r="F582" t="s">
        <v>600</v>
      </c>
      <c r="G582" t="s">
        <v>3705</v>
      </c>
      <c r="H582" t="s">
        <v>22</v>
      </c>
      <c r="I582" t="s">
        <v>1811</v>
      </c>
    </row>
    <row r="583" spans="1:9" ht="11.25" customHeight="1">
      <c r="A583" s="1767" t="s">
        <v>2416</v>
      </c>
      <c r="B583" s="1767" t="s">
        <v>16</v>
      </c>
      <c r="C583" t="s">
        <v>3706</v>
      </c>
      <c r="D583" t="s">
        <v>3707</v>
      </c>
      <c r="E583" t="s">
        <v>3708</v>
      </c>
      <c r="F583" t="s">
        <v>600</v>
      </c>
      <c r="G583" t="s">
        <v>22</v>
      </c>
      <c r="H583" t="s">
        <v>22</v>
      </c>
      <c r="I583" t="s">
        <v>1811</v>
      </c>
    </row>
    <row r="584" spans="1:9" ht="11.25" customHeight="1">
      <c r="A584" s="1767" t="s">
        <v>2416</v>
      </c>
      <c r="B584" s="1767" t="s">
        <v>16</v>
      </c>
      <c r="C584" t="s">
        <v>3709</v>
      </c>
      <c r="D584" t="s">
        <v>3710</v>
      </c>
      <c r="E584" t="s">
        <v>3711</v>
      </c>
      <c r="F584" t="s">
        <v>2780</v>
      </c>
      <c r="G584" t="s">
        <v>3712</v>
      </c>
      <c r="H584" t="s">
        <v>22</v>
      </c>
      <c r="I584" t="s">
        <v>1811</v>
      </c>
    </row>
    <row r="585" spans="1:9" ht="11.25" customHeight="1">
      <c r="A585" s="1767" t="s">
        <v>2416</v>
      </c>
      <c r="B585" s="1767" t="s">
        <v>16</v>
      </c>
      <c r="C585" t="s">
        <v>3713</v>
      </c>
      <c r="D585" t="s">
        <v>3714</v>
      </c>
      <c r="E585" t="s">
        <v>3715</v>
      </c>
      <c r="F585" t="s">
        <v>2481</v>
      </c>
      <c r="G585" t="s">
        <v>3716</v>
      </c>
      <c r="H585" t="s">
        <v>22</v>
      </c>
      <c r="I585" t="s">
        <v>1811</v>
      </c>
    </row>
    <row r="586" spans="1:9" ht="11.25" customHeight="1">
      <c r="A586" s="1767" t="s">
        <v>2416</v>
      </c>
      <c r="B586" s="1767" t="s">
        <v>16</v>
      </c>
      <c r="C586" t="s">
        <v>3717</v>
      </c>
      <c r="D586" t="s">
        <v>3718</v>
      </c>
      <c r="E586" t="s">
        <v>3719</v>
      </c>
      <c r="F586" t="s">
        <v>2437</v>
      </c>
      <c r="G586" t="s">
        <v>3720</v>
      </c>
      <c r="H586" t="s">
        <v>22</v>
      </c>
      <c r="I586" t="s">
        <v>1811</v>
      </c>
    </row>
    <row r="587" spans="1:9" ht="11.25" customHeight="1">
      <c r="A587" s="1767" t="s">
        <v>2416</v>
      </c>
      <c r="B587" s="1767" t="s">
        <v>16</v>
      </c>
      <c r="C587" t="s">
        <v>3721</v>
      </c>
      <c r="D587" t="s">
        <v>3722</v>
      </c>
      <c r="E587" t="s">
        <v>3723</v>
      </c>
      <c r="F587" t="s">
        <v>2423</v>
      </c>
      <c r="G587" t="s">
        <v>3724</v>
      </c>
      <c r="H587" t="s">
        <v>22</v>
      </c>
      <c r="I587" t="s">
        <v>1811</v>
      </c>
    </row>
    <row r="588" spans="1:9" ht="11.25" customHeight="1">
      <c r="A588" s="1767" t="s">
        <v>2416</v>
      </c>
      <c r="B588" s="1767" t="s">
        <v>16</v>
      </c>
      <c r="C588" t="s">
        <v>2652</v>
      </c>
      <c r="D588" t="s">
        <v>2653</v>
      </c>
      <c r="E588" t="s">
        <v>2654</v>
      </c>
      <c r="F588" t="s">
        <v>2614</v>
      </c>
      <c r="G588" t="s">
        <v>2655</v>
      </c>
      <c r="H588" t="s">
        <v>22</v>
      </c>
      <c r="I588" t="s">
        <v>1811</v>
      </c>
    </row>
    <row r="589" spans="1:9" ht="11.25" customHeight="1">
      <c r="A589" s="1767" t="s">
        <v>2416</v>
      </c>
      <c r="B589" s="1767" t="s">
        <v>16</v>
      </c>
      <c r="C589" t="s">
        <v>3725</v>
      </c>
      <c r="D589" t="s">
        <v>3726</v>
      </c>
      <c r="E589" t="s">
        <v>3727</v>
      </c>
      <c r="F589" t="s">
        <v>2659</v>
      </c>
      <c r="G589" t="s">
        <v>3728</v>
      </c>
      <c r="H589" t="s">
        <v>22</v>
      </c>
      <c r="I589" t="s">
        <v>1811</v>
      </c>
    </row>
    <row r="590" spans="1:9" ht="11.25" customHeight="1">
      <c r="A590" s="1767" t="s">
        <v>2416</v>
      </c>
      <c r="B590" s="1767" t="s">
        <v>16</v>
      </c>
      <c r="C590" t="s">
        <v>3729</v>
      </c>
      <c r="D590" t="s">
        <v>3730</v>
      </c>
      <c r="E590" t="s">
        <v>3731</v>
      </c>
      <c r="F590" t="s">
        <v>2679</v>
      </c>
      <c r="G590" t="s">
        <v>3732</v>
      </c>
      <c r="H590" t="s">
        <v>22</v>
      </c>
      <c r="I590" t="s">
        <v>1811</v>
      </c>
    </row>
    <row r="591" spans="1:9" ht="11.25" customHeight="1">
      <c r="A591" s="1767" t="s">
        <v>2416</v>
      </c>
      <c r="B591" s="1767" t="s">
        <v>16</v>
      </c>
      <c r="C591" t="s">
        <v>3733</v>
      </c>
      <c r="D591" t="s">
        <v>3734</v>
      </c>
      <c r="E591" t="s">
        <v>3735</v>
      </c>
      <c r="F591" t="s">
        <v>600</v>
      </c>
      <c r="G591" t="s">
        <v>22</v>
      </c>
      <c r="H591" t="s">
        <v>22</v>
      </c>
      <c r="I591" t="s">
        <v>1811</v>
      </c>
    </row>
    <row r="592" spans="1:9" ht="11.25" customHeight="1">
      <c r="A592" s="1767" t="s">
        <v>2416</v>
      </c>
      <c r="B592" s="1767" t="s">
        <v>16</v>
      </c>
      <c r="C592" t="s">
        <v>3736</v>
      </c>
      <c r="D592" t="s">
        <v>3737</v>
      </c>
      <c r="E592" t="s">
        <v>3738</v>
      </c>
      <c r="F592" t="s">
        <v>2419</v>
      </c>
      <c r="G592" t="s">
        <v>3739</v>
      </c>
      <c r="H592" t="s">
        <v>22</v>
      </c>
      <c r="I592" t="s">
        <v>1811</v>
      </c>
    </row>
    <row r="593" spans="1:9" ht="11.25" customHeight="1">
      <c r="A593" s="1767" t="s">
        <v>2416</v>
      </c>
      <c r="B593" s="1767" t="s">
        <v>16</v>
      </c>
      <c r="C593" t="s">
        <v>3740</v>
      </c>
      <c r="D593" t="s">
        <v>3741</v>
      </c>
      <c r="E593" t="s">
        <v>3742</v>
      </c>
      <c r="F593" t="s">
        <v>3081</v>
      </c>
      <c r="G593" t="s">
        <v>3743</v>
      </c>
      <c r="H593" t="s">
        <v>22</v>
      </c>
      <c r="I593" t="s">
        <v>1811</v>
      </c>
    </row>
    <row r="594" spans="1:9" ht="11.25" customHeight="1">
      <c r="A594" s="1767" t="s">
        <v>2416</v>
      </c>
      <c r="B594" s="1767" t="s">
        <v>16</v>
      </c>
      <c r="C594" t="s">
        <v>2736</v>
      </c>
      <c r="D594" t="s">
        <v>2737</v>
      </c>
      <c r="E594" t="s">
        <v>2738</v>
      </c>
      <c r="F594" t="s">
        <v>2609</v>
      </c>
      <c r="G594" t="s">
        <v>2739</v>
      </c>
      <c r="H594" t="s">
        <v>22</v>
      </c>
      <c r="I594" t="s">
        <v>1811</v>
      </c>
    </row>
    <row r="595" spans="1:9" ht="11.25" customHeight="1">
      <c r="A595" s="1767" t="s">
        <v>2416</v>
      </c>
      <c r="B595" s="1767" t="s">
        <v>16</v>
      </c>
      <c r="C595" t="s">
        <v>3744</v>
      </c>
      <c r="D595" t="s">
        <v>3745</v>
      </c>
      <c r="E595" t="s">
        <v>3746</v>
      </c>
      <c r="F595" t="s">
        <v>3747</v>
      </c>
      <c r="G595" t="s">
        <v>3748</v>
      </c>
      <c r="H595" t="s">
        <v>22</v>
      </c>
      <c r="I595" t="s">
        <v>1811</v>
      </c>
    </row>
    <row r="596" spans="1:9" ht="11.25" customHeight="1">
      <c r="A596" s="1767" t="s">
        <v>2416</v>
      </c>
      <c r="B596" s="1767" t="s">
        <v>16</v>
      </c>
      <c r="C596" t="s">
        <v>3749</v>
      </c>
      <c r="D596" t="s">
        <v>3750</v>
      </c>
      <c r="E596" t="s">
        <v>3751</v>
      </c>
      <c r="F596" t="s">
        <v>3752</v>
      </c>
      <c r="G596" t="s">
        <v>3753</v>
      </c>
      <c r="H596" t="s">
        <v>22</v>
      </c>
      <c r="I596" t="s">
        <v>1811</v>
      </c>
    </row>
    <row r="597" spans="1:9" ht="11.25" customHeight="1">
      <c r="A597" s="1767" t="s">
        <v>2416</v>
      </c>
      <c r="B597" s="1767" t="s">
        <v>16</v>
      </c>
      <c r="C597" t="s">
        <v>3754</v>
      </c>
      <c r="D597" t="s">
        <v>3755</v>
      </c>
      <c r="E597" t="s">
        <v>3756</v>
      </c>
      <c r="F597" t="s">
        <v>2471</v>
      </c>
      <c r="G597" t="s">
        <v>3757</v>
      </c>
      <c r="H597" t="s">
        <v>22</v>
      </c>
      <c r="I597" t="s">
        <v>1811</v>
      </c>
    </row>
    <row r="598" spans="1:9" ht="11.25" customHeight="1">
      <c r="A598" s="1767" t="s">
        <v>2416</v>
      </c>
      <c r="B598" s="1767" t="s">
        <v>16</v>
      </c>
      <c r="C598" t="s">
        <v>3758</v>
      </c>
      <c r="D598" t="s">
        <v>3759</v>
      </c>
      <c r="E598" t="s">
        <v>3760</v>
      </c>
      <c r="F598" t="s">
        <v>2481</v>
      </c>
      <c r="G598" t="s">
        <v>3761</v>
      </c>
      <c r="H598" t="s">
        <v>22</v>
      </c>
      <c r="I598" t="s">
        <v>1811</v>
      </c>
    </row>
    <row r="599" spans="1:9" ht="11.25" customHeight="1">
      <c r="A599" s="1767" t="s">
        <v>2416</v>
      </c>
      <c r="B599" s="1767" t="s">
        <v>16</v>
      </c>
      <c r="C599" t="s">
        <v>3762</v>
      </c>
      <c r="D599" t="s">
        <v>3763</v>
      </c>
      <c r="E599" t="s">
        <v>3764</v>
      </c>
      <c r="F599" t="s">
        <v>2419</v>
      </c>
      <c r="G599" t="s">
        <v>3765</v>
      </c>
      <c r="H599" t="s">
        <v>22</v>
      </c>
      <c r="I599" t="s">
        <v>1811</v>
      </c>
    </row>
    <row r="600" spans="1:9" ht="11.25" customHeight="1">
      <c r="A600" s="1767" t="s">
        <v>2416</v>
      </c>
      <c r="B600" s="1767" t="s">
        <v>16</v>
      </c>
      <c r="C600" t="s">
        <v>2818</v>
      </c>
      <c r="D600" t="s">
        <v>2819</v>
      </c>
      <c r="E600" t="s">
        <v>2820</v>
      </c>
      <c r="F600" t="s">
        <v>2419</v>
      </c>
      <c r="G600" t="s">
        <v>2821</v>
      </c>
      <c r="H600" t="s">
        <v>22</v>
      </c>
      <c r="I600" t="s">
        <v>1811</v>
      </c>
    </row>
    <row r="601" spans="1:9" ht="11.25" customHeight="1">
      <c r="A601" s="1767" t="s">
        <v>2416</v>
      </c>
      <c r="B601" s="1767" t="s">
        <v>16</v>
      </c>
      <c r="C601" t="s">
        <v>2822</v>
      </c>
      <c r="D601" t="s">
        <v>2823</v>
      </c>
      <c r="E601" t="s">
        <v>2824</v>
      </c>
      <c r="F601" t="s">
        <v>2691</v>
      </c>
      <c r="G601" t="s">
        <v>2825</v>
      </c>
      <c r="H601" t="s">
        <v>22</v>
      </c>
      <c r="I601" t="s">
        <v>1811</v>
      </c>
    </row>
    <row r="602" spans="1:9" ht="11.25" customHeight="1">
      <c r="A602" s="1767" t="s">
        <v>2416</v>
      </c>
      <c r="B602" s="1767" t="s">
        <v>16</v>
      </c>
      <c r="C602" t="s">
        <v>3766</v>
      </c>
      <c r="D602" t="s">
        <v>3767</v>
      </c>
      <c r="E602" t="s">
        <v>3768</v>
      </c>
      <c r="F602" t="s">
        <v>2691</v>
      </c>
      <c r="G602" t="s">
        <v>3408</v>
      </c>
      <c r="H602" t="s">
        <v>22</v>
      </c>
      <c r="I602" t="s">
        <v>1811</v>
      </c>
    </row>
    <row r="603" spans="1:9" ht="11.25" customHeight="1">
      <c r="A603" s="1767" t="s">
        <v>2416</v>
      </c>
      <c r="B603" s="1767" t="s">
        <v>16</v>
      </c>
      <c r="C603" t="s">
        <v>2894</v>
      </c>
      <c r="D603" t="s">
        <v>2895</v>
      </c>
      <c r="E603" t="s">
        <v>2896</v>
      </c>
      <c r="F603" t="s">
        <v>2767</v>
      </c>
      <c r="G603" t="s">
        <v>2897</v>
      </c>
      <c r="H603" t="s">
        <v>22</v>
      </c>
      <c r="I603" t="s">
        <v>1811</v>
      </c>
    </row>
    <row r="604" spans="1:9" ht="11.25" customHeight="1">
      <c r="A604" s="1767" t="s">
        <v>2416</v>
      </c>
      <c r="B604" s="1767" t="s">
        <v>16</v>
      </c>
      <c r="C604" t="s">
        <v>3769</v>
      </c>
      <c r="D604" t="s">
        <v>3770</v>
      </c>
      <c r="E604" t="s">
        <v>3771</v>
      </c>
      <c r="F604" t="s">
        <v>2780</v>
      </c>
      <c r="G604" t="s">
        <v>3772</v>
      </c>
      <c r="H604" t="s">
        <v>22</v>
      </c>
      <c r="I604" t="s">
        <v>1811</v>
      </c>
    </row>
    <row r="605" spans="1:9" ht="11.25" customHeight="1">
      <c r="A605" s="1767" t="s">
        <v>2416</v>
      </c>
      <c r="B605" s="1767" t="s">
        <v>16</v>
      </c>
      <c r="C605" t="s">
        <v>3773</v>
      </c>
      <c r="D605" t="s">
        <v>3774</v>
      </c>
      <c r="E605" t="s">
        <v>3775</v>
      </c>
      <c r="F605" t="s">
        <v>3776</v>
      </c>
      <c r="G605" t="s">
        <v>3777</v>
      </c>
      <c r="H605" t="s">
        <v>22</v>
      </c>
      <c r="I605" t="s">
        <v>1811</v>
      </c>
    </row>
    <row r="606" spans="1:9" ht="11.25" customHeight="1">
      <c r="A606" s="1767" t="s">
        <v>2416</v>
      </c>
      <c r="B606" s="1767" t="s">
        <v>16</v>
      </c>
      <c r="C606" t="s">
        <v>3778</v>
      </c>
      <c r="D606" t="s">
        <v>3779</v>
      </c>
      <c r="E606" t="s">
        <v>3780</v>
      </c>
      <c r="F606" t="s">
        <v>2419</v>
      </c>
      <c r="G606" t="s">
        <v>3781</v>
      </c>
      <c r="H606" t="s">
        <v>22</v>
      </c>
      <c r="I606" t="s">
        <v>1811</v>
      </c>
    </row>
    <row r="607" spans="1:9" ht="11.25" customHeight="1">
      <c r="A607" s="1767" t="s">
        <v>2416</v>
      </c>
      <c r="B607" s="1767" t="s">
        <v>16</v>
      </c>
      <c r="C607" t="s">
        <v>3782</v>
      </c>
      <c r="D607" t="s">
        <v>3783</v>
      </c>
      <c r="E607" t="s">
        <v>3784</v>
      </c>
      <c r="F607" t="s">
        <v>2419</v>
      </c>
      <c r="G607" t="s">
        <v>22</v>
      </c>
      <c r="H607" t="s">
        <v>22</v>
      </c>
      <c r="I607" t="s">
        <v>1811</v>
      </c>
    </row>
    <row r="608" spans="1:9" ht="11.25" customHeight="1">
      <c r="A608" s="1767" t="s">
        <v>2416</v>
      </c>
      <c r="B608" s="1767" t="s">
        <v>16</v>
      </c>
      <c r="C608" t="s">
        <v>3785</v>
      </c>
      <c r="D608" t="s">
        <v>3786</v>
      </c>
      <c r="E608" t="s">
        <v>3787</v>
      </c>
      <c r="F608" t="s">
        <v>2519</v>
      </c>
      <c r="G608" t="s">
        <v>3788</v>
      </c>
      <c r="H608" t="s">
        <v>22</v>
      </c>
      <c r="I608" t="s">
        <v>1811</v>
      </c>
    </row>
    <row r="609" spans="1:9" ht="11.25" customHeight="1">
      <c r="A609" s="1767" t="s">
        <v>2416</v>
      </c>
      <c r="B609" s="1767" t="s">
        <v>16</v>
      </c>
      <c r="C609" t="s">
        <v>3789</v>
      </c>
      <c r="D609" t="s">
        <v>3790</v>
      </c>
      <c r="E609" t="s">
        <v>3791</v>
      </c>
      <c r="F609" t="s">
        <v>2419</v>
      </c>
      <c r="G609" t="s">
        <v>3792</v>
      </c>
      <c r="H609" t="s">
        <v>22</v>
      </c>
      <c r="I609" t="s">
        <v>1811</v>
      </c>
    </row>
    <row r="610" spans="1:9" ht="11.25" customHeight="1">
      <c r="A610" s="1767" t="s">
        <v>2416</v>
      </c>
      <c r="B610" s="1767" t="s">
        <v>16</v>
      </c>
      <c r="C610" t="s">
        <v>3793</v>
      </c>
      <c r="D610" t="s">
        <v>3794</v>
      </c>
      <c r="E610" t="s">
        <v>3795</v>
      </c>
      <c r="F610" t="s">
        <v>2893</v>
      </c>
      <c r="G610" t="s">
        <v>3796</v>
      </c>
      <c r="H610" t="s">
        <v>22</v>
      </c>
      <c r="I610" t="s">
        <v>1811</v>
      </c>
    </row>
    <row r="611" spans="1:9" ht="11.25" customHeight="1">
      <c r="A611" s="1767" t="s">
        <v>2416</v>
      </c>
      <c r="B611" s="1767" t="s">
        <v>16</v>
      </c>
      <c r="C611" t="s">
        <v>3575</v>
      </c>
      <c r="D611" t="s">
        <v>3576</v>
      </c>
      <c r="E611" t="s">
        <v>3577</v>
      </c>
      <c r="F611" t="s">
        <v>2691</v>
      </c>
      <c r="G611" t="s">
        <v>3578</v>
      </c>
      <c r="H611" t="s">
        <v>22</v>
      </c>
      <c r="I611" t="s">
        <v>1811</v>
      </c>
    </row>
    <row r="612" spans="1:9" ht="11.25" customHeight="1">
      <c r="A612" s="1767" t="s">
        <v>2416</v>
      </c>
      <c r="B612" s="1767" t="s">
        <v>16</v>
      </c>
      <c r="C612" t="s">
        <v>3797</v>
      </c>
      <c r="D612" t="s">
        <v>3798</v>
      </c>
      <c r="E612" t="s">
        <v>3799</v>
      </c>
      <c r="F612" t="s">
        <v>3800</v>
      </c>
      <c r="G612" t="s">
        <v>3801</v>
      </c>
      <c r="H612" t="s">
        <v>22</v>
      </c>
      <c r="I612" t="s">
        <v>1811</v>
      </c>
    </row>
    <row r="613" spans="1:9" ht="11.25" customHeight="1">
      <c r="A613" s="1767" t="s">
        <v>2416</v>
      </c>
      <c r="B613" s="1767" t="s">
        <v>16</v>
      </c>
      <c r="C613" t="s">
        <v>3802</v>
      </c>
      <c r="D613" t="s">
        <v>3803</v>
      </c>
      <c r="E613" t="s">
        <v>3804</v>
      </c>
      <c r="F613" t="s">
        <v>2419</v>
      </c>
      <c r="G613" t="s">
        <v>22</v>
      </c>
      <c r="H613" t="s">
        <v>22</v>
      </c>
      <c r="I613" t="s">
        <v>1811</v>
      </c>
    </row>
    <row r="614" spans="1:9" ht="11.25" customHeight="1">
      <c r="A614" s="1767" t="s">
        <v>2416</v>
      </c>
      <c r="B614" s="1767" t="s">
        <v>16</v>
      </c>
      <c r="C614" t="s">
        <v>3805</v>
      </c>
      <c r="D614" t="s">
        <v>3806</v>
      </c>
      <c r="E614" t="s">
        <v>3807</v>
      </c>
      <c r="F614" t="s">
        <v>2490</v>
      </c>
      <c r="G614" t="s">
        <v>3808</v>
      </c>
      <c r="H614" t="s">
        <v>22</v>
      </c>
      <c r="I614" t="s">
        <v>1811</v>
      </c>
    </row>
    <row r="615" spans="1:9" ht="11.25" customHeight="1">
      <c r="A615" s="1767" t="s">
        <v>2416</v>
      </c>
      <c r="B615" s="1767" t="s">
        <v>16</v>
      </c>
      <c r="C615" t="s">
        <v>3809</v>
      </c>
      <c r="D615" t="s">
        <v>3810</v>
      </c>
      <c r="E615" t="s">
        <v>3811</v>
      </c>
      <c r="F615" t="s">
        <v>2490</v>
      </c>
      <c r="G615" t="s">
        <v>22</v>
      </c>
      <c r="H615" t="s">
        <v>22</v>
      </c>
      <c r="I615" t="s">
        <v>1811</v>
      </c>
    </row>
    <row r="616" spans="1:9" ht="11.25" customHeight="1">
      <c r="A616" s="1767" t="s">
        <v>2416</v>
      </c>
      <c r="B616" s="1767" t="s">
        <v>16</v>
      </c>
      <c r="C616" t="s">
        <v>3812</v>
      </c>
      <c r="D616" t="s">
        <v>3813</v>
      </c>
      <c r="E616" t="s">
        <v>3814</v>
      </c>
      <c r="F616" t="s">
        <v>2419</v>
      </c>
      <c r="G616" t="s">
        <v>3520</v>
      </c>
      <c r="H616" t="s">
        <v>22</v>
      </c>
      <c r="I616" t="s">
        <v>1811</v>
      </c>
    </row>
    <row r="617" spans="1:9" ht="11.25" customHeight="1">
      <c r="A617" s="1767" t="s">
        <v>2416</v>
      </c>
      <c r="B617" s="1767" t="s">
        <v>16</v>
      </c>
      <c r="C617" t="s">
        <v>3815</v>
      </c>
      <c r="D617" t="s">
        <v>3816</v>
      </c>
      <c r="E617" t="s">
        <v>3817</v>
      </c>
      <c r="F617" t="s">
        <v>2755</v>
      </c>
      <c r="G617" t="s">
        <v>22</v>
      </c>
      <c r="H617" t="s">
        <v>22</v>
      </c>
      <c r="I617" t="s">
        <v>1811</v>
      </c>
    </row>
    <row r="618" spans="1:9" ht="11.25" customHeight="1">
      <c r="A618" s="1767" t="s">
        <v>2416</v>
      </c>
      <c r="B618" s="1767" t="s">
        <v>16</v>
      </c>
      <c r="C618" t="s">
        <v>3818</v>
      </c>
      <c r="D618" t="s">
        <v>3819</v>
      </c>
      <c r="E618" t="s">
        <v>3817</v>
      </c>
      <c r="F618" t="s">
        <v>2419</v>
      </c>
      <c r="G618" t="s">
        <v>3820</v>
      </c>
      <c r="H618" t="s">
        <v>22</v>
      </c>
      <c r="I618" t="s">
        <v>1811</v>
      </c>
    </row>
    <row r="619" spans="1:9" ht="11.25" customHeight="1">
      <c r="A619" s="1767" t="s">
        <v>2416</v>
      </c>
      <c r="B619" s="1767" t="s">
        <v>16</v>
      </c>
      <c r="C619" t="s">
        <v>3821</v>
      </c>
      <c r="D619" t="s">
        <v>3822</v>
      </c>
      <c r="E619" t="s">
        <v>3823</v>
      </c>
      <c r="F619" t="s">
        <v>2780</v>
      </c>
      <c r="G619" t="s">
        <v>3824</v>
      </c>
      <c r="H619" t="s">
        <v>22</v>
      </c>
      <c r="I619" t="s">
        <v>1811</v>
      </c>
    </row>
    <row r="620" spans="1:9" ht="11.25" customHeight="1">
      <c r="A620" s="1767" t="s">
        <v>2416</v>
      </c>
      <c r="B620" s="1767" t="s">
        <v>16</v>
      </c>
      <c r="C620" t="s">
        <v>3087</v>
      </c>
      <c r="D620" t="s">
        <v>3088</v>
      </c>
      <c r="E620" t="s">
        <v>3089</v>
      </c>
      <c r="F620" t="s">
        <v>2419</v>
      </c>
      <c r="G620" t="s">
        <v>3090</v>
      </c>
      <c r="H620" t="s">
        <v>22</v>
      </c>
      <c r="I620" t="s">
        <v>1811</v>
      </c>
    </row>
    <row r="621" spans="1:9" ht="11.25" customHeight="1">
      <c r="A621" s="1767" t="s">
        <v>2416</v>
      </c>
      <c r="B621" s="1767" t="s">
        <v>16</v>
      </c>
      <c r="C621" t="s">
        <v>3095</v>
      </c>
      <c r="D621" t="s">
        <v>3096</v>
      </c>
      <c r="E621" t="s">
        <v>3097</v>
      </c>
      <c r="F621" t="s">
        <v>3081</v>
      </c>
      <c r="G621" t="s">
        <v>3098</v>
      </c>
      <c r="H621" t="s">
        <v>22</v>
      </c>
      <c r="I621" t="s">
        <v>1811</v>
      </c>
    </row>
    <row r="622" spans="1:9" ht="11.25" customHeight="1">
      <c r="A622" s="1767" t="s">
        <v>2416</v>
      </c>
      <c r="B622" s="1767" t="s">
        <v>16</v>
      </c>
      <c r="C622" t="s">
        <v>3825</v>
      </c>
      <c r="D622" t="s">
        <v>3826</v>
      </c>
      <c r="E622" t="s">
        <v>3827</v>
      </c>
      <c r="F622" t="s">
        <v>2755</v>
      </c>
      <c r="G622" t="s">
        <v>3828</v>
      </c>
      <c r="H622" t="s">
        <v>22</v>
      </c>
      <c r="I622" t="s">
        <v>1811</v>
      </c>
    </row>
    <row r="623" spans="1:9" ht="11.25" customHeight="1">
      <c r="A623" s="1767" t="s">
        <v>2416</v>
      </c>
      <c r="B623" s="1767" t="s">
        <v>16</v>
      </c>
      <c r="C623" t="s">
        <v>3111</v>
      </c>
      <c r="D623" t="s">
        <v>3112</v>
      </c>
      <c r="E623" t="s">
        <v>3113</v>
      </c>
      <c r="F623" t="s">
        <v>2618</v>
      </c>
      <c r="G623" t="s">
        <v>3114</v>
      </c>
      <c r="H623" t="s">
        <v>22</v>
      </c>
      <c r="I623" t="s">
        <v>1811</v>
      </c>
    </row>
    <row r="624" spans="1:9" ht="11.25" customHeight="1">
      <c r="A624" s="1767" t="s">
        <v>2416</v>
      </c>
      <c r="B624" s="1767" t="s">
        <v>16</v>
      </c>
      <c r="C624" t="s">
        <v>3829</v>
      </c>
      <c r="D624" t="s">
        <v>3830</v>
      </c>
      <c r="E624" t="s">
        <v>3831</v>
      </c>
      <c r="F624" t="s">
        <v>2419</v>
      </c>
      <c r="G624" t="s">
        <v>3781</v>
      </c>
      <c r="H624" t="s">
        <v>22</v>
      </c>
      <c r="I624" t="s">
        <v>1811</v>
      </c>
    </row>
    <row r="625" spans="1:9" ht="11.25" customHeight="1">
      <c r="A625" s="1767" t="s">
        <v>2416</v>
      </c>
      <c r="B625" s="1767" t="s">
        <v>16</v>
      </c>
      <c r="C625" t="s">
        <v>3832</v>
      </c>
      <c r="D625" t="s">
        <v>3833</v>
      </c>
      <c r="E625" t="s">
        <v>3834</v>
      </c>
      <c r="F625" t="s">
        <v>2471</v>
      </c>
      <c r="G625" t="s">
        <v>3835</v>
      </c>
      <c r="H625" t="s">
        <v>22</v>
      </c>
      <c r="I625" t="s">
        <v>1811</v>
      </c>
    </row>
    <row r="626" spans="1:9" ht="11.25" customHeight="1">
      <c r="A626" s="1767" t="s">
        <v>2416</v>
      </c>
      <c r="B626" s="1767" t="s">
        <v>16</v>
      </c>
      <c r="C626" t="s">
        <v>3836</v>
      </c>
      <c r="D626" t="s">
        <v>3837</v>
      </c>
      <c r="E626" t="s">
        <v>3838</v>
      </c>
      <c r="F626" t="s">
        <v>2419</v>
      </c>
      <c r="G626" t="s">
        <v>3839</v>
      </c>
      <c r="H626" t="s">
        <v>22</v>
      </c>
      <c r="I626" t="s">
        <v>1811</v>
      </c>
    </row>
    <row r="627" spans="1:9" ht="11.25" customHeight="1">
      <c r="A627" s="1767" t="s">
        <v>2416</v>
      </c>
      <c r="B627" s="1767" t="s">
        <v>16</v>
      </c>
      <c r="C627" t="s">
        <v>3840</v>
      </c>
      <c r="D627" t="s">
        <v>3841</v>
      </c>
      <c r="E627" t="s">
        <v>3842</v>
      </c>
      <c r="F627" t="s">
        <v>3843</v>
      </c>
      <c r="G627" t="s">
        <v>22</v>
      </c>
      <c r="H627" t="s">
        <v>22</v>
      </c>
      <c r="I627" t="s">
        <v>1811</v>
      </c>
    </row>
    <row r="628" spans="1:9" ht="11.25" customHeight="1">
      <c r="A628" s="1767" t="s">
        <v>2416</v>
      </c>
      <c r="B628" s="1767" t="s">
        <v>16</v>
      </c>
      <c r="C628" t="s">
        <v>3844</v>
      </c>
      <c r="D628" t="s">
        <v>3845</v>
      </c>
      <c r="E628" t="s">
        <v>3846</v>
      </c>
      <c r="F628" t="s">
        <v>3847</v>
      </c>
      <c r="G628" t="s">
        <v>22</v>
      </c>
      <c r="H628" t="s">
        <v>22</v>
      </c>
      <c r="I628" t="s">
        <v>1811</v>
      </c>
    </row>
    <row r="629" spans="1:9" ht="11.25" customHeight="1">
      <c r="A629" s="1767" t="s">
        <v>2416</v>
      </c>
      <c r="B629" s="1767" t="s">
        <v>16</v>
      </c>
      <c r="C629" t="s">
        <v>3848</v>
      </c>
      <c r="D629" t="s">
        <v>3849</v>
      </c>
      <c r="E629" t="s">
        <v>3850</v>
      </c>
      <c r="F629" t="s">
        <v>2580</v>
      </c>
      <c r="G629" t="s">
        <v>3851</v>
      </c>
      <c r="H629" t="s">
        <v>22</v>
      </c>
      <c r="I629" t="s">
        <v>1811</v>
      </c>
    </row>
    <row r="630" spans="1:9" ht="11.25" customHeight="1">
      <c r="A630" s="1767" t="s">
        <v>2416</v>
      </c>
      <c r="B630" s="1767" t="s">
        <v>16</v>
      </c>
      <c r="C630" t="s">
        <v>3852</v>
      </c>
      <c r="D630" t="s">
        <v>3853</v>
      </c>
      <c r="E630" t="s">
        <v>3854</v>
      </c>
      <c r="F630" t="s">
        <v>2527</v>
      </c>
      <c r="G630" t="s">
        <v>3855</v>
      </c>
      <c r="H630" t="s">
        <v>22</v>
      </c>
      <c r="I630" t="s">
        <v>1811</v>
      </c>
    </row>
    <row r="631" spans="1:9" ht="11.25" customHeight="1">
      <c r="A631" s="1767" t="s">
        <v>2416</v>
      </c>
      <c r="B631" s="1767" t="s">
        <v>16</v>
      </c>
      <c r="C631" t="s">
        <v>3856</v>
      </c>
      <c r="D631" t="s">
        <v>3857</v>
      </c>
      <c r="E631" t="s">
        <v>3858</v>
      </c>
      <c r="F631" t="s">
        <v>2419</v>
      </c>
      <c r="G631" t="s">
        <v>3859</v>
      </c>
      <c r="H631" t="s">
        <v>22</v>
      </c>
      <c r="I631" t="s">
        <v>1811</v>
      </c>
    </row>
    <row r="632" spans="1:9" ht="11.25" customHeight="1">
      <c r="A632" s="1767" t="s">
        <v>2416</v>
      </c>
      <c r="B632" s="1767" t="s">
        <v>16</v>
      </c>
      <c r="C632" t="s">
        <v>3860</v>
      </c>
      <c r="D632" t="s">
        <v>3861</v>
      </c>
      <c r="E632" t="s">
        <v>3862</v>
      </c>
      <c r="F632" t="s">
        <v>2580</v>
      </c>
      <c r="G632" t="s">
        <v>3863</v>
      </c>
      <c r="H632" t="s">
        <v>22</v>
      </c>
      <c r="I632" t="s">
        <v>1811</v>
      </c>
    </row>
    <row r="633" spans="1:9" ht="11.25" customHeight="1">
      <c r="A633" s="1767" t="s">
        <v>2416</v>
      </c>
      <c r="B633" s="1767" t="s">
        <v>16</v>
      </c>
      <c r="C633" t="s">
        <v>3226</v>
      </c>
      <c r="D633" t="s">
        <v>3227</v>
      </c>
      <c r="E633" t="s">
        <v>3228</v>
      </c>
      <c r="F633" t="s">
        <v>3229</v>
      </c>
      <c r="G633" t="s">
        <v>3230</v>
      </c>
      <c r="H633" t="s">
        <v>22</v>
      </c>
      <c r="I633" t="s">
        <v>1811</v>
      </c>
    </row>
    <row r="634" spans="1:9" ht="11.25" customHeight="1">
      <c r="A634" s="1767" t="s">
        <v>2416</v>
      </c>
      <c r="B634" s="1767" t="s">
        <v>16</v>
      </c>
      <c r="C634" t="s">
        <v>3231</v>
      </c>
      <c r="D634" t="s">
        <v>3232</v>
      </c>
      <c r="E634" t="s">
        <v>3233</v>
      </c>
      <c r="F634" t="s">
        <v>2609</v>
      </c>
      <c r="G634" t="s">
        <v>3234</v>
      </c>
      <c r="H634" t="s">
        <v>22</v>
      </c>
      <c r="I634" t="s">
        <v>1811</v>
      </c>
    </row>
    <row r="635" spans="1:9" ht="11.25" customHeight="1">
      <c r="A635" s="1767" t="s">
        <v>2416</v>
      </c>
      <c r="B635" s="1767" t="s">
        <v>16</v>
      </c>
      <c r="C635" t="s">
        <v>3864</v>
      </c>
      <c r="D635" t="s">
        <v>3865</v>
      </c>
      <c r="E635" t="s">
        <v>3866</v>
      </c>
      <c r="F635" t="s">
        <v>2490</v>
      </c>
      <c r="G635" t="s">
        <v>3867</v>
      </c>
      <c r="H635" t="s">
        <v>22</v>
      </c>
      <c r="I635" t="s">
        <v>1811</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06"/>
  <sheetViews>
    <sheetView showGridLines="0" workbookViewId="0"/>
  </sheetViews>
  <sheetFormatPr defaultRowHeight="11.25" customHeight="1"/>
  <cols>
    <col min="1" max="1" width="9.140625" style="1767"/>
  </cols>
  <sheetData>
    <row r="1" spans="1:7" ht="11.25" customHeight="1">
      <c r="A1" s="309" t="s">
        <v>3868</v>
      </c>
      <c r="B1" s="3" t="s">
        <v>3869</v>
      </c>
      <c r="C1" s="2" t="s">
        <v>3870</v>
      </c>
      <c r="D1" s="2" t="s">
        <v>3871</v>
      </c>
      <c r="E1" s="2" t="s">
        <v>3872</v>
      </c>
      <c r="F1" s="2" t="s">
        <v>3873</v>
      </c>
      <c r="G1" s="2" t="s">
        <v>3874</v>
      </c>
    </row>
    <row r="2" spans="1:7" ht="11.25" customHeight="1">
      <c r="A2" s="309" t="s">
        <v>16</v>
      </c>
      <c r="B2" t="s">
        <v>101</v>
      </c>
      <c r="C2" t="s">
        <v>102</v>
      </c>
      <c r="D2" t="s">
        <v>101</v>
      </c>
      <c r="E2" t="s">
        <v>102</v>
      </c>
      <c r="F2" t="s">
        <v>3875</v>
      </c>
      <c r="G2" t="s">
        <v>100</v>
      </c>
    </row>
    <row r="3" spans="1:7" ht="11.25" customHeight="1">
      <c r="A3" s="1767" t="s">
        <v>16</v>
      </c>
      <c r="B3" t="s">
        <v>3876</v>
      </c>
      <c r="C3" t="s">
        <v>3877</v>
      </c>
      <c r="D3" t="s">
        <v>3876</v>
      </c>
      <c r="E3" t="s">
        <v>3877</v>
      </c>
      <c r="F3" t="s">
        <v>3878</v>
      </c>
      <c r="G3" t="s">
        <v>103</v>
      </c>
    </row>
    <row r="4" spans="1:7" ht="11.25" customHeight="1">
      <c r="A4" s="1767" t="s">
        <v>16</v>
      </c>
      <c r="B4" t="s">
        <v>3879</v>
      </c>
      <c r="C4" t="s">
        <v>3880</v>
      </c>
      <c r="D4" t="s">
        <v>3881</v>
      </c>
      <c r="E4" t="s">
        <v>3882</v>
      </c>
      <c r="F4" t="s">
        <v>3883</v>
      </c>
      <c r="G4" t="s">
        <v>91</v>
      </c>
    </row>
    <row r="5" spans="1:7" ht="11.25" customHeight="1">
      <c r="A5" s="1767" t="s">
        <v>16</v>
      </c>
      <c r="B5" t="s">
        <v>3879</v>
      </c>
      <c r="C5" t="s">
        <v>3880</v>
      </c>
      <c r="D5" t="s">
        <v>3884</v>
      </c>
      <c r="E5" t="s">
        <v>3885</v>
      </c>
      <c r="F5" t="s">
        <v>3883</v>
      </c>
      <c r="G5" t="s">
        <v>92</v>
      </c>
    </row>
    <row r="6" spans="1:7" ht="11.25" customHeight="1">
      <c r="A6" s="1767" t="s">
        <v>16</v>
      </c>
      <c r="B6" t="s">
        <v>3879</v>
      </c>
      <c r="C6" t="s">
        <v>3880</v>
      </c>
      <c r="D6" t="s">
        <v>3879</v>
      </c>
      <c r="E6" t="s">
        <v>3880</v>
      </c>
      <c r="F6" t="s">
        <v>3886</v>
      </c>
      <c r="G6" t="s">
        <v>123</v>
      </c>
    </row>
    <row r="7" spans="1:7" ht="11.25" customHeight="1">
      <c r="A7" s="1767" t="s">
        <v>16</v>
      </c>
      <c r="B7" t="s">
        <v>3879</v>
      </c>
      <c r="C7" t="s">
        <v>3880</v>
      </c>
      <c r="D7" t="s">
        <v>3887</v>
      </c>
      <c r="E7" t="s">
        <v>3888</v>
      </c>
      <c r="F7" t="s">
        <v>3889</v>
      </c>
      <c r="G7" t="s">
        <v>93</v>
      </c>
    </row>
    <row r="8" spans="1:7" ht="11.25" customHeight="1">
      <c r="A8" s="1767" t="s">
        <v>16</v>
      </c>
      <c r="B8" t="s">
        <v>3879</v>
      </c>
      <c r="C8" t="s">
        <v>3880</v>
      </c>
      <c r="D8" t="s">
        <v>3890</v>
      </c>
      <c r="E8" t="s">
        <v>3891</v>
      </c>
      <c r="F8" t="s">
        <v>3883</v>
      </c>
      <c r="G8" t="s">
        <v>94</v>
      </c>
    </row>
    <row r="9" spans="1:7" ht="11.25" customHeight="1">
      <c r="A9" s="1767" t="s">
        <v>16</v>
      </c>
      <c r="B9" t="s">
        <v>3879</v>
      </c>
      <c r="C9" t="s">
        <v>3880</v>
      </c>
      <c r="D9" t="s">
        <v>3892</v>
      </c>
      <c r="E9" t="s">
        <v>3893</v>
      </c>
      <c r="F9" t="s">
        <v>3883</v>
      </c>
      <c r="G9" t="s">
        <v>124</v>
      </c>
    </row>
    <row r="10" spans="1:7" ht="11.25" customHeight="1">
      <c r="A10" s="1767" t="s">
        <v>16</v>
      </c>
      <c r="B10" t="s">
        <v>3879</v>
      </c>
      <c r="C10" t="s">
        <v>3880</v>
      </c>
      <c r="D10" t="s">
        <v>3894</v>
      </c>
      <c r="E10" t="s">
        <v>3895</v>
      </c>
      <c r="F10" t="s">
        <v>3896</v>
      </c>
      <c r="G10" t="s">
        <v>169</v>
      </c>
    </row>
    <row r="11" spans="1:7" ht="11.25" customHeight="1">
      <c r="A11" s="1767" t="s">
        <v>16</v>
      </c>
      <c r="B11" t="s">
        <v>3879</v>
      </c>
      <c r="C11" t="s">
        <v>3880</v>
      </c>
      <c r="D11" t="s">
        <v>3897</v>
      </c>
      <c r="E11" t="s">
        <v>3898</v>
      </c>
      <c r="F11" t="s">
        <v>3883</v>
      </c>
      <c r="G11" t="s">
        <v>170</v>
      </c>
    </row>
    <row r="12" spans="1:7" ht="11.25" customHeight="1">
      <c r="A12" s="1767" t="s">
        <v>16</v>
      </c>
      <c r="B12" t="s">
        <v>3879</v>
      </c>
      <c r="C12" t="s">
        <v>3880</v>
      </c>
      <c r="D12" t="s">
        <v>3899</v>
      </c>
      <c r="E12" t="s">
        <v>3900</v>
      </c>
      <c r="F12" t="s">
        <v>3883</v>
      </c>
      <c r="G12" t="s">
        <v>171</v>
      </c>
    </row>
    <row r="13" spans="1:7" ht="11.25" customHeight="1">
      <c r="A13" s="1767" t="s">
        <v>16</v>
      </c>
      <c r="B13" t="s">
        <v>3879</v>
      </c>
      <c r="C13" t="s">
        <v>3880</v>
      </c>
      <c r="D13" t="s">
        <v>3901</v>
      </c>
      <c r="E13" t="s">
        <v>3902</v>
      </c>
      <c r="F13" t="s">
        <v>3883</v>
      </c>
      <c r="G13" t="s">
        <v>172</v>
      </c>
    </row>
    <row r="14" spans="1:7" ht="11.25" customHeight="1">
      <c r="A14" s="1767" t="s">
        <v>16</v>
      </c>
      <c r="B14" t="s">
        <v>3879</v>
      </c>
      <c r="C14" t="s">
        <v>3880</v>
      </c>
      <c r="D14" t="s">
        <v>3903</v>
      </c>
      <c r="E14" t="s">
        <v>3904</v>
      </c>
      <c r="F14" t="s">
        <v>3883</v>
      </c>
      <c r="G14" t="s">
        <v>173</v>
      </c>
    </row>
    <row r="15" spans="1:7" ht="11.25" customHeight="1">
      <c r="A15" s="1767" t="s">
        <v>16</v>
      </c>
      <c r="B15" t="s">
        <v>3879</v>
      </c>
      <c r="C15" t="s">
        <v>3880</v>
      </c>
      <c r="D15" t="s">
        <v>3905</v>
      </c>
      <c r="E15" t="s">
        <v>3906</v>
      </c>
      <c r="F15" t="s">
        <v>3883</v>
      </c>
      <c r="G15" t="s">
        <v>174</v>
      </c>
    </row>
    <row r="16" spans="1:7" ht="11.25" customHeight="1">
      <c r="A16" s="1767" t="s">
        <v>16</v>
      </c>
      <c r="B16" t="s">
        <v>3879</v>
      </c>
      <c r="C16" t="s">
        <v>3880</v>
      </c>
      <c r="D16" t="s">
        <v>3907</v>
      </c>
      <c r="E16" t="s">
        <v>3908</v>
      </c>
      <c r="F16" t="s">
        <v>3883</v>
      </c>
      <c r="G16" t="s">
        <v>1655</v>
      </c>
    </row>
    <row r="17" spans="1:7" ht="11.25" customHeight="1">
      <c r="A17" s="1767" t="s">
        <v>16</v>
      </c>
      <c r="B17" t="s">
        <v>3879</v>
      </c>
      <c r="C17" t="s">
        <v>3880</v>
      </c>
      <c r="D17" t="s">
        <v>3909</v>
      </c>
      <c r="E17" t="s">
        <v>3910</v>
      </c>
      <c r="F17" t="s">
        <v>3883</v>
      </c>
      <c r="G17" t="s">
        <v>1661</v>
      </c>
    </row>
    <row r="18" spans="1:7" ht="11.25" customHeight="1">
      <c r="A18" s="1767" t="s">
        <v>16</v>
      </c>
      <c r="B18" t="s">
        <v>3879</v>
      </c>
      <c r="C18" t="s">
        <v>3880</v>
      </c>
      <c r="D18" t="s">
        <v>3911</v>
      </c>
      <c r="E18" t="s">
        <v>3912</v>
      </c>
      <c r="F18" t="s">
        <v>3883</v>
      </c>
      <c r="G18" t="s">
        <v>1673</v>
      </c>
    </row>
    <row r="19" spans="1:7" ht="11.25" customHeight="1">
      <c r="A19" s="1767" t="s">
        <v>16</v>
      </c>
      <c r="B19" t="s">
        <v>3879</v>
      </c>
      <c r="C19" t="s">
        <v>3880</v>
      </c>
      <c r="D19" t="s">
        <v>3913</v>
      </c>
      <c r="E19" t="s">
        <v>3914</v>
      </c>
      <c r="F19" t="s">
        <v>3883</v>
      </c>
      <c r="G19" t="s">
        <v>1687</v>
      </c>
    </row>
    <row r="20" spans="1:7" ht="11.25" customHeight="1">
      <c r="A20" s="1767" t="s">
        <v>16</v>
      </c>
      <c r="B20" t="s">
        <v>3879</v>
      </c>
      <c r="C20" t="s">
        <v>3880</v>
      </c>
      <c r="D20" t="s">
        <v>3915</v>
      </c>
      <c r="E20" t="s">
        <v>3916</v>
      </c>
      <c r="F20" t="s">
        <v>3883</v>
      </c>
      <c r="G20" t="s">
        <v>1699</v>
      </c>
    </row>
    <row r="21" spans="1:7" ht="11.25" customHeight="1">
      <c r="A21" s="1767" t="s">
        <v>16</v>
      </c>
      <c r="B21" t="s">
        <v>3879</v>
      </c>
      <c r="C21" t="s">
        <v>3880</v>
      </c>
      <c r="D21" t="s">
        <v>3917</v>
      </c>
      <c r="E21" t="s">
        <v>3918</v>
      </c>
      <c r="F21" t="s">
        <v>3883</v>
      </c>
      <c r="G21" t="s">
        <v>1708</v>
      </c>
    </row>
    <row r="22" spans="1:7" ht="11.25" customHeight="1">
      <c r="A22" s="1767" t="s">
        <v>16</v>
      </c>
      <c r="B22" t="s">
        <v>3879</v>
      </c>
      <c r="C22" t="s">
        <v>3880</v>
      </c>
      <c r="D22" t="s">
        <v>3919</v>
      </c>
      <c r="E22" t="s">
        <v>3920</v>
      </c>
      <c r="F22" t="s">
        <v>3883</v>
      </c>
      <c r="G22" t="s">
        <v>1724</v>
      </c>
    </row>
    <row r="23" spans="1:7" ht="11.25" customHeight="1">
      <c r="A23" s="1767" t="s">
        <v>16</v>
      </c>
      <c r="B23" t="s">
        <v>3879</v>
      </c>
      <c r="C23" t="s">
        <v>3880</v>
      </c>
      <c r="D23" t="s">
        <v>3921</v>
      </c>
      <c r="E23" t="s">
        <v>3922</v>
      </c>
      <c r="F23" t="s">
        <v>3883</v>
      </c>
      <c r="G23" t="s">
        <v>1731</v>
      </c>
    </row>
    <row r="24" spans="1:7" ht="11.25" customHeight="1">
      <c r="A24" s="1767" t="s">
        <v>16</v>
      </c>
      <c r="B24" t="s">
        <v>3879</v>
      </c>
      <c r="C24" t="s">
        <v>3880</v>
      </c>
      <c r="D24" t="s">
        <v>3923</v>
      </c>
      <c r="E24" t="s">
        <v>3924</v>
      </c>
      <c r="F24" t="s">
        <v>3883</v>
      </c>
      <c r="G24" t="s">
        <v>1739</v>
      </c>
    </row>
    <row r="25" spans="1:7" ht="11.25" customHeight="1">
      <c r="A25" s="1767" t="s">
        <v>16</v>
      </c>
      <c r="B25" t="s">
        <v>3879</v>
      </c>
      <c r="C25" t="s">
        <v>3880</v>
      </c>
      <c r="D25" t="s">
        <v>3925</v>
      </c>
      <c r="E25" t="s">
        <v>3926</v>
      </c>
      <c r="F25" t="s">
        <v>3883</v>
      </c>
      <c r="G25" t="s">
        <v>1745</v>
      </c>
    </row>
    <row r="26" spans="1:7" ht="11.25" customHeight="1">
      <c r="A26" s="1767" t="s">
        <v>16</v>
      </c>
      <c r="B26" t="s">
        <v>3927</v>
      </c>
      <c r="C26" t="s">
        <v>3928</v>
      </c>
      <c r="D26" t="s">
        <v>3927</v>
      </c>
      <c r="E26" t="s">
        <v>3928</v>
      </c>
      <c r="F26" t="s">
        <v>3878</v>
      </c>
      <c r="G26" t="s">
        <v>1749</v>
      </c>
    </row>
    <row r="27" spans="1:7" ht="11.25" customHeight="1">
      <c r="A27" s="1767" t="s">
        <v>16</v>
      </c>
      <c r="B27" t="s">
        <v>3929</v>
      </c>
      <c r="C27" t="s">
        <v>3930</v>
      </c>
      <c r="D27" t="s">
        <v>3929</v>
      </c>
      <c r="E27" t="s">
        <v>3930</v>
      </c>
      <c r="F27" t="s">
        <v>3878</v>
      </c>
      <c r="G27" t="s">
        <v>1754</v>
      </c>
    </row>
    <row r="28" spans="1:7" ht="11.25" customHeight="1">
      <c r="A28" s="1767" t="s">
        <v>16</v>
      </c>
      <c r="B28" t="s">
        <v>3931</v>
      </c>
      <c r="C28" t="s">
        <v>3932</v>
      </c>
      <c r="D28" t="s">
        <v>3931</v>
      </c>
      <c r="E28" t="s">
        <v>3932</v>
      </c>
      <c r="F28" t="s">
        <v>3878</v>
      </c>
      <c r="G28" t="s">
        <v>1762</v>
      </c>
    </row>
    <row r="29" spans="1:7" ht="11.25" customHeight="1">
      <c r="A29" s="1767" t="s">
        <v>16</v>
      </c>
      <c r="B29" t="s">
        <v>3933</v>
      </c>
      <c r="C29" t="s">
        <v>3934</v>
      </c>
      <c r="D29" t="s">
        <v>3933</v>
      </c>
      <c r="E29" t="s">
        <v>3934</v>
      </c>
      <c r="F29" t="s">
        <v>3875</v>
      </c>
      <c r="G29" t="s">
        <v>1764</v>
      </c>
    </row>
    <row r="30" spans="1:7" ht="11.25" customHeight="1">
      <c r="A30" s="1767" t="s">
        <v>16</v>
      </c>
      <c r="B30" t="s">
        <v>3935</v>
      </c>
      <c r="C30" t="s">
        <v>3936</v>
      </c>
      <c r="D30" t="s">
        <v>3935</v>
      </c>
      <c r="E30" t="s">
        <v>3936</v>
      </c>
      <c r="F30" t="s">
        <v>3878</v>
      </c>
      <c r="G30" t="s">
        <v>1767</v>
      </c>
    </row>
    <row r="31" spans="1:7" ht="11.25" customHeight="1">
      <c r="A31" s="1767" t="s">
        <v>16</v>
      </c>
      <c r="B31" t="s">
        <v>3937</v>
      </c>
      <c r="C31" t="s">
        <v>3938</v>
      </c>
      <c r="D31" t="s">
        <v>3939</v>
      </c>
      <c r="E31" t="s">
        <v>3940</v>
      </c>
      <c r="F31" t="s">
        <v>3883</v>
      </c>
      <c r="G31" t="s">
        <v>1773</v>
      </c>
    </row>
    <row r="32" spans="1:7" ht="11.25" customHeight="1">
      <c r="A32" s="1767" t="s">
        <v>16</v>
      </c>
      <c r="B32" t="s">
        <v>3937</v>
      </c>
      <c r="C32" t="s">
        <v>3938</v>
      </c>
      <c r="D32" t="s">
        <v>3941</v>
      </c>
      <c r="E32" t="s">
        <v>3942</v>
      </c>
      <c r="F32" t="s">
        <v>3883</v>
      </c>
      <c r="G32" t="s">
        <v>1775</v>
      </c>
    </row>
    <row r="33" spans="1:7" ht="11.25" customHeight="1">
      <c r="A33" s="1767" t="s">
        <v>16</v>
      </c>
      <c r="B33" t="s">
        <v>3937</v>
      </c>
      <c r="C33" t="s">
        <v>3938</v>
      </c>
      <c r="D33" t="s">
        <v>3943</v>
      </c>
      <c r="E33" t="s">
        <v>3944</v>
      </c>
      <c r="F33" t="s">
        <v>3883</v>
      </c>
      <c r="G33" t="s">
        <v>1777</v>
      </c>
    </row>
    <row r="34" spans="1:7" ht="11.25" customHeight="1">
      <c r="A34" s="1767" t="s">
        <v>16</v>
      </c>
      <c r="B34" t="s">
        <v>3937</v>
      </c>
      <c r="C34" t="s">
        <v>3938</v>
      </c>
      <c r="D34" t="s">
        <v>3945</v>
      </c>
      <c r="E34" t="s">
        <v>3946</v>
      </c>
      <c r="F34" t="s">
        <v>3883</v>
      </c>
      <c r="G34" t="s">
        <v>1779</v>
      </c>
    </row>
    <row r="35" spans="1:7" ht="11.25" customHeight="1">
      <c r="A35" s="1767" t="s">
        <v>16</v>
      </c>
      <c r="B35" t="s">
        <v>3937</v>
      </c>
      <c r="C35" t="s">
        <v>3938</v>
      </c>
      <c r="D35" t="s">
        <v>3937</v>
      </c>
      <c r="E35" t="s">
        <v>3938</v>
      </c>
      <c r="F35" t="s">
        <v>3886</v>
      </c>
      <c r="G35" t="s">
        <v>1784</v>
      </c>
    </row>
    <row r="36" spans="1:7" ht="11.25" customHeight="1">
      <c r="A36" s="1767" t="s">
        <v>16</v>
      </c>
      <c r="B36" t="s">
        <v>3937</v>
      </c>
      <c r="C36" t="s">
        <v>3938</v>
      </c>
      <c r="D36" t="s">
        <v>3947</v>
      </c>
      <c r="E36" t="s">
        <v>3948</v>
      </c>
      <c r="F36" t="s">
        <v>3896</v>
      </c>
      <c r="G36" t="s">
        <v>1789</v>
      </c>
    </row>
    <row r="37" spans="1:7" ht="11.25" customHeight="1">
      <c r="A37" s="1767" t="s">
        <v>16</v>
      </c>
      <c r="B37" t="s">
        <v>3937</v>
      </c>
      <c r="C37" t="s">
        <v>3938</v>
      </c>
      <c r="D37" t="s">
        <v>3949</v>
      </c>
      <c r="E37" t="s">
        <v>3950</v>
      </c>
      <c r="F37" t="s">
        <v>3883</v>
      </c>
      <c r="G37" t="s">
        <v>1793</v>
      </c>
    </row>
    <row r="38" spans="1:7" ht="11.25" customHeight="1">
      <c r="A38" s="1767" t="s">
        <v>16</v>
      </c>
      <c r="B38" t="s">
        <v>3937</v>
      </c>
      <c r="C38" t="s">
        <v>3938</v>
      </c>
      <c r="D38" t="s">
        <v>3951</v>
      </c>
      <c r="E38" t="s">
        <v>3952</v>
      </c>
      <c r="F38" t="s">
        <v>3883</v>
      </c>
      <c r="G38" t="s">
        <v>1801</v>
      </c>
    </row>
    <row r="39" spans="1:7" ht="11.25" customHeight="1">
      <c r="A39" s="1767" t="s">
        <v>16</v>
      </c>
      <c r="B39" t="s">
        <v>3937</v>
      </c>
      <c r="C39" t="s">
        <v>3938</v>
      </c>
      <c r="D39" t="s">
        <v>3953</v>
      </c>
      <c r="E39" t="s">
        <v>3954</v>
      </c>
      <c r="F39" t="s">
        <v>3883</v>
      </c>
      <c r="G39" t="s">
        <v>1807</v>
      </c>
    </row>
    <row r="40" spans="1:7" ht="11.25" customHeight="1">
      <c r="A40" s="1767" t="s">
        <v>16</v>
      </c>
      <c r="B40" t="s">
        <v>3955</v>
      </c>
      <c r="C40" t="s">
        <v>3956</v>
      </c>
      <c r="D40" t="s">
        <v>3955</v>
      </c>
      <c r="E40" t="s">
        <v>3956</v>
      </c>
      <c r="F40" t="s">
        <v>3875</v>
      </c>
      <c r="G40" t="s">
        <v>1812</v>
      </c>
    </row>
    <row r="41" spans="1:7" ht="11.25" customHeight="1">
      <c r="A41" s="1767" t="s">
        <v>16</v>
      </c>
      <c r="B41" t="s">
        <v>3957</v>
      </c>
      <c r="C41" t="s">
        <v>3958</v>
      </c>
      <c r="D41" t="s">
        <v>3957</v>
      </c>
      <c r="E41" t="s">
        <v>3958</v>
      </c>
      <c r="F41" t="s">
        <v>3875</v>
      </c>
      <c r="G41" t="s">
        <v>1816</v>
      </c>
    </row>
    <row r="42" spans="1:7" ht="11.25" customHeight="1">
      <c r="A42" s="1767" t="s">
        <v>16</v>
      </c>
      <c r="B42" t="s">
        <v>3959</v>
      </c>
      <c r="C42" t="s">
        <v>3960</v>
      </c>
      <c r="D42" t="s">
        <v>3959</v>
      </c>
      <c r="E42" t="s">
        <v>3960</v>
      </c>
      <c r="F42" t="s">
        <v>3878</v>
      </c>
      <c r="G42" t="s">
        <v>1819</v>
      </c>
    </row>
    <row r="43" spans="1:7" ht="11.25" customHeight="1">
      <c r="A43" s="1767" t="s">
        <v>16</v>
      </c>
      <c r="B43" t="s">
        <v>3961</v>
      </c>
      <c r="C43" t="s">
        <v>3962</v>
      </c>
      <c r="D43" t="s">
        <v>3961</v>
      </c>
      <c r="E43" t="s">
        <v>3962</v>
      </c>
      <c r="F43" t="s">
        <v>3878</v>
      </c>
      <c r="G43" t="s">
        <v>1826</v>
      </c>
    </row>
    <row r="44" spans="1:7" ht="11.25" customHeight="1">
      <c r="A44" s="1767" t="s">
        <v>16</v>
      </c>
      <c r="B44" t="s">
        <v>3963</v>
      </c>
      <c r="C44" t="s">
        <v>3964</v>
      </c>
      <c r="D44" t="s">
        <v>3965</v>
      </c>
      <c r="E44" t="s">
        <v>3966</v>
      </c>
      <c r="F44" t="s">
        <v>3883</v>
      </c>
      <c r="G44" t="s">
        <v>1835</v>
      </c>
    </row>
    <row r="45" spans="1:7" ht="11.25" customHeight="1">
      <c r="A45" s="1767" t="s">
        <v>16</v>
      </c>
      <c r="B45" t="s">
        <v>3963</v>
      </c>
      <c r="C45" t="s">
        <v>3964</v>
      </c>
      <c r="D45" t="s">
        <v>3967</v>
      </c>
      <c r="E45" t="s">
        <v>3968</v>
      </c>
      <c r="F45" t="s">
        <v>3883</v>
      </c>
      <c r="G45" t="s">
        <v>1840</v>
      </c>
    </row>
    <row r="46" spans="1:7" ht="11.25" customHeight="1">
      <c r="A46" s="1767" t="s">
        <v>16</v>
      </c>
      <c r="B46" t="s">
        <v>3963</v>
      </c>
      <c r="C46" t="s">
        <v>3964</v>
      </c>
      <c r="D46" t="s">
        <v>3969</v>
      </c>
      <c r="E46" t="s">
        <v>3970</v>
      </c>
      <c r="F46" t="s">
        <v>3883</v>
      </c>
      <c r="G46" t="s">
        <v>1844</v>
      </c>
    </row>
    <row r="47" spans="1:7" ht="11.25" customHeight="1">
      <c r="A47" s="1767" t="s">
        <v>16</v>
      </c>
      <c r="B47" t="s">
        <v>3963</v>
      </c>
      <c r="C47" t="s">
        <v>3964</v>
      </c>
      <c r="D47" t="s">
        <v>3963</v>
      </c>
      <c r="E47" t="s">
        <v>3964</v>
      </c>
      <c r="F47" t="s">
        <v>3886</v>
      </c>
      <c r="G47" t="s">
        <v>1849</v>
      </c>
    </row>
    <row r="48" spans="1:7" ht="11.25" customHeight="1">
      <c r="A48" s="1767" t="s">
        <v>16</v>
      </c>
      <c r="B48" t="s">
        <v>3963</v>
      </c>
      <c r="C48" t="s">
        <v>3964</v>
      </c>
      <c r="D48" t="s">
        <v>3971</v>
      </c>
      <c r="E48" t="s">
        <v>3972</v>
      </c>
      <c r="F48" t="s">
        <v>3883</v>
      </c>
      <c r="G48" t="s">
        <v>1854</v>
      </c>
    </row>
    <row r="49" spans="1:7" ht="11.25" customHeight="1">
      <c r="A49" s="1767" t="s">
        <v>16</v>
      </c>
      <c r="B49" t="s">
        <v>3963</v>
      </c>
      <c r="C49" t="s">
        <v>3964</v>
      </c>
      <c r="D49" t="s">
        <v>3973</v>
      </c>
      <c r="E49" t="s">
        <v>3974</v>
      </c>
      <c r="F49" t="s">
        <v>3883</v>
      </c>
      <c r="G49" t="s">
        <v>1857</v>
      </c>
    </row>
    <row r="50" spans="1:7" ht="11.25" customHeight="1">
      <c r="A50" s="1767" t="s">
        <v>16</v>
      </c>
      <c r="B50" t="s">
        <v>3963</v>
      </c>
      <c r="C50" t="s">
        <v>3964</v>
      </c>
      <c r="D50" t="s">
        <v>3975</v>
      </c>
      <c r="E50" t="s">
        <v>3976</v>
      </c>
      <c r="F50" t="s">
        <v>3883</v>
      </c>
      <c r="G50" t="s">
        <v>1861</v>
      </c>
    </row>
    <row r="51" spans="1:7" ht="11.25" customHeight="1">
      <c r="A51" s="1767" t="s">
        <v>16</v>
      </c>
      <c r="B51" t="s">
        <v>3963</v>
      </c>
      <c r="C51" t="s">
        <v>3964</v>
      </c>
      <c r="D51" t="s">
        <v>3977</v>
      </c>
      <c r="E51" t="s">
        <v>3978</v>
      </c>
      <c r="F51" t="s">
        <v>3883</v>
      </c>
      <c r="G51" t="s">
        <v>1866</v>
      </c>
    </row>
    <row r="52" spans="1:7" ht="11.25" customHeight="1">
      <c r="A52" s="1767" t="s">
        <v>16</v>
      </c>
      <c r="B52" t="s">
        <v>3979</v>
      </c>
      <c r="C52" t="s">
        <v>3980</v>
      </c>
      <c r="D52" t="s">
        <v>3981</v>
      </c>
      <c r="E52" t="s">
        <v>3982</v>
      </c>
      <c r="F52" t="s">
        <v>3883</v>
      </c>
      <c r="G52" t="s">
        <v>1870</v>
      </c>
    </row>
    <row r="53" spans="1:7" ht="11.25" customHeight="1">
      <c r="A53" s="1767" t="s">
        <v>16</v>
      </c>
      <c r="B53" t="s">
        <v>3979</v>
      </c>
      <c r="C53" t="s">
        <v>3980</v>
      </c>
      <c r="D53" t="s">
        <v>3979</v>
      </c>
      <c r="E53" t="s">
        <v>3980</v>
      </c>
      <c r="F53" t="s">
        <v>3886</v>
      </c>
      <c r="G53" t="s">
        <v>1872</v>
      </c>
    </row>
    <row r="54" spans="1:7" ht="11.25" customHeight="1">
      <c r="A54" s="1767" t="s">
        <v>16</v>
      </c>
      <c r="B54" t="s">
        <v>3979</v>
      </c>
      <c r="C54" t="s">
        <v>3980</v>
      </c>
      <c r="D54" t="s">
        <v>3983</v>
      </c>
      <c r="E54" t="s">
        <v>3984</v>
      </c>
      <c r="F54" t="s">
        <v>3883</v>
      </c>
      <c r="G54" t="s">
        <v>1875</v>
      </c>
    </row>
    <row r="55" spans="1:7" ht="11.25" customHeight="1">
      <c r="A55" s="1767" t="s">
        <v>16</v>
      </c>
      <c r="B55" t="s">
        <v>3979</v>
      </c>
      <c r="C55" t="s">
        <v>3980</v>
      </c>
      <c r="D55" t="s">
        <v>3985</v>
      </c>
      <c r="E55" t="s">
        <v>3986</v>
      </c>
      <c r="F55" t="s">
        <v>3883</v>
      </c>
      <c r="G55" t="s">
        <v>1879</v>
      </c>
    </row>
    <row r="56" spans="1:7" ht="11.25" customHeight="1">
      <c r="A56" s="1767" t="s">
        <v>16</v>
      </c>
      <c r="B56" t="s">
        <v>3979</v>
      </c>
      <c r="C56" t="s">
        <v>3980</v>
      </c>
      <c r="D56" t="s">
        <v>3987</v>
      </c>
      <c r="E56" t="s">
        <v>3988</v>
      </c>
      <c r="F56" t="s">
        <v>3896</v>
      </c>
      <c r="G56" t="s">
        <v>1883</v>
      </c>
    </row>
    <row r="57" spans="1:7" ht="11.25" customHeight="1">
      <c r="A57" s="1767" t="s">
        <v>16</v>
      </c>
      <c r="B57" t="s">
        <v>3989</v>
      </c>
      <c r="C57" t="s">
        <v>3990</v>
      </c>
      <c r="D57" t="s">
        <v>3989</v>
      </c>
      <c r="E57" t="s">
        <v>3990</v>
      </c>
      <c r="F57" t="s">
        <v>3878</v>
      </c>
      <c r="G57" t="s">
        <v>1886</v>
      </c>
    </row>
    <row r="58" spans="1:7" ht="11.25" customHeight="1">
      <c r="A58" s="1767" t="s">
        <v>16</v>
      </c>
      <c r="B58" t="s">
        <v>3991</v>
      </c>
      <c r="C58" t="s">
        <v>3992</v>
      </c>
      <c r="D58" t="s">
        <v>3991</v>
      </c>
      <c r="E58" t="s">
        <v>3992</v>
      </c>
      <c r="F58" t="s">
        <v>3878</v>
      </c>
      <c r="G58" t="s">
        <v>1889</v>
      </c>
    </row>
    <row r="59" spans="1:7" ht="11.25" customHeight="1">
      <c r="A59" s="1767" t="s">
        <v>16</v>
      </c>
      <c r="B59" t="s">
        <v>115</v>
      </c>
      <c r="C59" t="s">
        <v>116</v>
      </c>
      <c r="D59" t="s">
        <v>115</v>
      </c>
      <c r="E59" t="s">
        <v>116</v>
      </c>
      <c r="F59" t="s">
        <v>3878</v>
      </c>
      <c r="G59" t="s">
        <v>114</v>
      </c>
    </row>
    <row r="60" spans="1:7" ht="11.25" customHeight="1">
      <c r="A60" s="1767" t="s">
        <v>16</v>
      </c>
      <c r="B60" t="s">
        <v>3993</v>
      </c>
      <c r="C60" t="s">
        <v>3994</v>
      </c>
      <c r="D60" t="s">
        <v>3993</v>
      </c>
      <c r="E60" t="s">
        <v>3994</v>
      </c>
      <c r="F60" t="s">
        <v>3875</v>
      </c>
      <c r="G60" t="s">
        <v>1895</v>
      </c>
    </row>
    <row r="61" spans="1:7" ht="11.25" customHeight="1">
      <c r="A61" s="1767" t="s">
        <v>16</v>
      </c>
      <c r="B61" t="s">
        <v>3995</v>
      </c>
      <c r="C61" t="s">
        <v>3996</v>
      </c>
      <c r="D61" t="s">
        <v>3995</v>
      </c>
      <c r="E61" t="s">
        <v>3996</v>
      </c>
      <c r="F61" t="s">
        <v>3875</v>
      </c>
      <c r="G61" t="s">
        <v>3997</v>
      </c>
    </row>
    <row r="62" spans="1:7" ht="11.25" customHeight="1">
      <c r="A62" s="1767" t="s">
        <v>16</v>
      </c>
      <c r="B62" t="s">
        <v>3998</v>
      </c>
      <c r="C62" t="s">
        <v>3999</v>
      </c>
      <c r="D62" t="s">
        <v>3998</v>
      </c>
      <c r="E62" t="s">
        <v>3999</v>
      </c>
      <c r="F62" t="s">
        <v>3878</v>
      </c>
      <c r="G62" t="s">
        <v>4000</v>
      </c>
    </row>
    <row r="63" spans="1:7" ht="11.25" customHeight="1">
      <c r="A63" s="1767" t="s">
        <v>16</v>
      </c>
      <c r="B63" t="s">
        <v>4001</v>
      </c>
      <c r="C63" t="s">
        <v>4002</v>
      </c>
      <c r="D63" t="s">
        <v>4001</v>
      </c>
      <c r="E63" t="s">
        <v>4002</v>
      </c>
      <c r="F63" t="s">
        <v>3878</v>
      </c>
      <c r="G63" t="s">
        <v>4003</v>
      </c>
    </row>
    <row r="64" spans="1:7" ht="11.25" customHeight="1">
      <c r="A64" s="1767" t="s">
        <v>16</v>
      </c>
      <c r="B64" t="s">
        <v>4004</v>
      </c>
      <c r="C64" t="s">
        <v>4005</v>
      </c>
      <c r="D64" t="s">
        <v>4006</v>
      </c>
      <c r="E64" t="s">
        <v>4007</v>
      </c>
      <c r="F64" t="s">
        <v>3883</v>
      </c>
      <c r="G64" t="s">
        <v>4008</v>
      </c>
    </row>
    <row r="65" spans="1:7" ht="11.25" customHeight="1">
      <c r="A65" s="1767" t="s">
        <v>16</v>
      </c>
      <c r="B65" t="s">
        <v>4004</v>
      </c>
      <c r="C65" t="s">
        <v>4005</v>
      </c>
      <c r="D65" t="s">
        <v>4009</v>
      </c>
      <c r="E65" t="s">
        <v>4010</v>
      </c>
      <c r="F65" t="s">
        <v>3883</v>
      </c>
      <c r="G65" t="s">
        <v>4011</v>
      </c>
    </row>
    <row r="66" spans="1:7" ht="11.25" customHeight="1">
      <c r="A66" s="1767" t="s">
        <v>16</v>
      </c>
      <c r="B66" t="s">
        <v>4004</v>
      </c>
      <c r="C66" t="s">
        <v>4005</v>
      </c>
      <c r="D66" t="s">
        <v>4012</v>
      </c>
      <c r="E66" t="s">
        <v>4013</v>
      </c>
      <c r="F66" t="s">
        <v>3896</v>
      </c>
      <c r="G66" t="s">
        <v>4014</v>
      </c>
    </row>
    <row r="67" spans="1:7" ht="11.25" customHeight="1">
      <c r="A67" s="1767" t="s">
        <v>16</v>
      </c>
      <c r="B67" t="s">
        <v>4004</v>
      </c>
      <c r="C67" t="s">
        <v>4005</v>
      </c>
      <c r="D67" t="s">
        <v>4015</v>
      </c>
      <c r="E67" t="s">
        <v>4016</v>
      </c>
      <c r="F67" t="s">
        <v>4017</v>
      </c>
      <c r="G67" t="s">
        <v>2193</v>
      </c>
    </row>
    <row r="68" spans="1:7" ht="11.25" customHeight="1">
      <c r="A68" s="1767" t="s">
        <v>16</v>
      </c>
      <c r="B68" t="s">
        <v>4004</v>
      </c>
      <c r="C68" t="s">
        <v>4005</v>
      </c>
      <c r="D68" t="s">
        <v>4018</v>
      </c>
      <c r="E68" t="s">
        <v>4019</v>
      </c>
      <c r="F68" t="s">
        <v>3883</v>
      </c>
      <c r="G68" t="s">
        <v>4020</v>
      </c>
    </row>
    <row r="69" spans="1:7" ht="11.25" customHeight="1">
      <c r="A69" s="1767" t="s">
        <v>16</v>
      </c>
      <c r="B69" t="s">
        <v>4004</v>
      </c>
      <c r="C69" t="s">
        <v>4005</v>
      </c>
      <c r="D69" t="s">
        <v>4004</v>
      </c>
      <c r="E69" t="s">
        <v>4005</v>
      </c>
      <c r="F69" t="s">
        <v>3886</v>
      </c>
      <c r="G69" t="s">
        <v>2393</v>
      </c>
    </row>
    <row r="70" spans="1:7" ht="11.25" customHeight="1">
      <c r="A70" s="1767" t="s">
        <v>16</v>
      </c>
      <c r="B70" t="s">
        <v>4004</v>
      </c>
      <c r="C70" t="s">
        <v>4005</v>
      </c>
      <c r="D70" t="s">
        <v>4021</v>
      </c>
      <c r="E70" t="s">
        <v>4022</v>
      </c>
      <c r="F70" t="s">
        <v>3889</v>
      </c>
      <c r="G70" t="s">
        <v>4023</v>
      </c>
    </row>
    <row r="71" spans="1:7" ht="11.25" customHeight="1">
      <c r="A71" s="1767" t="s">
        <v>16</v>
      </c>
      <c r="B71" t="s">
        <v>4004</v>
      </c>
      <c r="C71" t="s">
        <v>4005</v>
      </c>
      <c r="D71" t="s">
        <v>4024</v>
      </c>
      <c r="E71" t="s">
        <v>4025</v>
      </c>
      <c r="F71" t="s">
        <v>3883</v>
      </c>
      <c r="G71" t="s">
        <v>4026</v>
      </c>
    </row>
    <row r="72" spans="1:7" ht="11.25" customHeight="1">
      <c r="A72" s="1767" t="s">
        <v>16</v>
      </c>
      <c r="B72" t="s">
        <v>4004</v>
      </c>
      <c r="C72" t="s">
        <v>4005</v>
      </c>
      <c r="D72" t="s">
        <v>4027</v>
      </c>
      <c r="E72" t="s">
        <v>4028</v>
      </c>
      <c r="F72" t="s">
        <v>3883</v>
      </c>
      <c r="G72" t="s">
        <v>4029</v>
      </c>
    </row>
    <row r="73" spans="1:7" ht="11.25" customHeight="1">
      <c r="A73" s="1767" t="s">
        <v>16</v>
      </c>
      <c r="B73" t="s">
        <v>4004</v>
      </c>
      <c r="C73" t="s">
        <v>4005</v>
      </c>
      <c r="D73" t="s">
        <v>4030</v>
      </c>
      <c r="E73" t="s">
        <v>4031</v>
      </c>
      <c r="F73" t="s">
        <v>3883</v>
      </c>
      <c r="G73" t="s">
        <v>4032</v>
      </c>
    </row>
    <row r="74" spans="1:7" ht="11.25" customHeight="1">
      <c r="A74" s="1767" t="s">
        <v>16</v>
      </c>
      <c r="B74" t="s">
        <v>4033</v>
      </c>
      <c r="C74" t="s">
        <v>4034</v>
      </c>
      <c r="D74" t="s">
        <v>4033</v>
      </c>
      <c r="E74" t="s">
        <v>4034</v>
      </c>
      <c r="F74" t="s">
        <v>3878</v>
      </c>
      <c r="G74" t="s">
        <v>4035</v>
      </c>
    </row>
    <row r="75" spans="1:7" ht="11.25" customHeight="1">
      <c r="A75" s="1767" t="s">
        <v>16</v>
      </c>
      <c r="B75" t="s">
        <v>4036</v>
      </c>
      <c r="C75" t="s">
        <v>4037</v>
      </c>
      <c r="D75" t="s">
        <v>4038</v>
      </c>
      <c r="E75" t="s">
        <v>4039</v>
      </c>
      <c r="F75" t="s">
        <v>3883</v>
      </c>
      <c r="G75" t="s">
        <v>4040</v>
      </c>
    </row>
    <row r="76" spans="1:7" ht="11.25" customHeight="1">
      <c r="A76" s="1767" t="s">
        <v>16</v>
      </c>
      <c r="B76" t="s">
        <v>4036</v>
      </c>
      <c r="C76" t="s">
        <v>4037</v>
      </c>
      <c r="D76" t="s">
        <v>4041</v>
      </c>
      <c r="E76" t="s">
        <v>4042</v>
      </c>
      <c r="F76" t="s">
        <v>3883</v>
      </c>
      <c r="G76" t="s">
        <v>4043</v>
      </c>
    </row>
    <row r="77" spans="1:7" ht="11.25" customHeight="1">
      <c r="A77" s="1767" t="s">
        <v>16</v>
      </c>
      <c r="B77" t="s">
        <v>4036</v>
      </c>
      <c r="C77" t="s">
        <v>4037</v>
      </c>
      <c r="D77" t="s">
        <v>4044</v>
      </c>
      <c r="E77" t="s">
        <v>4045</v>
      </c>
      <c r="F77" t="s">
        <v>3883</v>
      </c>
      <c r="G77" t="s">
        <v>4046</v>
      </c>
    </row>
    <row r="78" spans="1:7" ht="11.25" customHeight="1">
      <c r="A78" s="1767" t="s">
        <v>16</v>
      </c>
      <c r="B78" t="s">
        <v>4036</v>
      </c>
      <c r="C78" t="s">
        <v>4037</v>
      </c>
      <c r="D78" t="s">
        <v>4047</v>
      </c>
      <c r="E78" t="s">
        <v>4048</v>
      </c>
      <c r="F78" t="s">
        <v>3883</v>
      </c>
      <c r="G78" t="s">
        <v>4049</v>
      </c>
    </row>
    <row r="79" spans="1:7" ht="11.25" customHeight="1">
      <c r="A79" s="1767" t="s">
        <v>16</v>
      </c>
      <c r="B79" t="s">
        <v>4036</v>
      </c>
      <c r="C79" t="s">
        <v>4037</v>
      </c>
      <c r="D79" t="s">
        <v>4050</v>
      </c>
      <c r="E79" t="s">
        <v>4051</v>
      </c>
      <c r="F79" t="s">
        <v>3883</v>
      </c>
      <c r="G79" t="s">
        <v>4052</v>
      </c>
    </row>
    <row r="80" spans="1:7" ht="11.25" customHeight="1">
      <c r="A80" s="1767" t="s">
        <v>16</v>
      </c>
      <c r="B80" t="s">
        <v>4036</v>
      </c>
      <c r="C80" t="s">
        <v>4037</v>
      </c>
      <c r="D80" t="s">
        <v>4053</v>
      </c>
      <c r="E80" t="s">
        <v>4054</v>
      </c>
      <c r="F80" t="s">
        <v>3883</v>
      </c>
      <c r="G80" t="s">
        <v>4055</v>
      </c>
    </row>
    <row r="81" spans="1:7" ht="11.25" customHeight="1">
      <c r="A81" s="1767" t="s">
        <v>16</v>
      </c>
      <c r="B81" t="s">
        <v>4036</v>
      </c>
      <c r="C81" t="s">
        <v>4037</v>
      </c>
      <c r="D81" t="s">
        <v>4056</v>
      </c>
      <c r="E81" t="s">
        <v>4057</v>
      </c>
      <c r="F81" t="s">
        <v>3883</v>
      </c>
      <c r="G81" t="s">
        <v>4058</v>
      </c>
    </row>
    <row r="82" spans="1:7" ht="11.25" customHeight="1">
      <c r="A82" s="1767" t="s">
        <v>16</v>
      </c>
      <c r="B82" t="s">
        <v>4036</v>
      </c>
      <c r="C82" t="s">
        <v>4037</v>
      </c>
      <c r="D82" t="s">
        <v>4036</v>
      </c>
      <c r="E82" t="s">
        <v>4037</v>
      </c>
      <c r="F82" t="s">
        <v>3886</v>
      </c>
      <c r="G82" t="s">
        <v>4059</v>
      </c>
    </row>
    <row r="83" spans="1:7" ht="11.25" customHeight="1">
      <c r="A83" s="1767" t="s">
        <v>16</v>
      </c>
      <c r="B83" t="s">
        <v>4036</v>
      </c>
      <c r="C83" t="s">
        <v>4037</v>
      </c>
      <c r="D83" t="s">
        <v>4060</v>
      </c>
      <c r="E83" t="s">
        <v>4061</v>
      </c>
      <c r="F83" t="s">
        <v>3883</v>
      </c>
      <c r="G83" t="s">
        <v>4062</v>
      </c>
    </row>
    <row r="84" spans="1:7" ht="11.25" customHeight="1">
      <c r="A84" s="1767" t="s">
        <v>16</v>
      </c>
      <c r="B84" t="s">
        <v>4036</v>
      </c>
      <c r="C84" t="s">
        <v>4037</v>
      </c>
      <c r="D84" t="s">
        <v>4063</v>
      </c>
      <c r="E84" t="s">
        <v>4064</v>
      </c>
      <c r="F84" t="s">
        <v>3883</v>
      </c>
      <c r="G84" t="s">
        <v>4065</v>
      </c>
    </row>
    <row r="85" spans="1:7" ht="11.25" customHeight="1">
      <c r="A85" s="1767" t="s">
        <v>16</v>
      </c>
      <c r="B85" t="s">
        <v>4036</v>
      </c>
      <c r="C85" t="s">
        <v>4037</v>
      </c>
      <c r="D85" t="s">
        <v>4066</v>
      </c>
      <c r="E85" t="s">
        <v>4067</v>
      </c>
      <c r="F85" t="s">
        <v>3883</v>
      </c>
      <c r="G85" t="s">
        <v>4068</v>
      </c>
    </row>
    <row r="86" spans="1:7" ht="11.25" customHeight="1">
      <c r="A86" s="1767" t="s">
        <v>16</v>
      </c>
      <c r="B86" t="s">
        <v>4036</v>
      </c>
      <c r="C86" t="s">
        <v>4037</v>
      </c>
      <c r="D86" t="s">
        <v>4069</v>
      </c>
      <c r="E86" t="s">
        <v>4070</v>
      </c>
      <c r="F86" t="s">
        <v>3883</v>
      </c>
      <c r="G86" t="s">
        <v>4071</v>
      </c>
    </row>
    <row r="87" spans="1:7" ht="11.25" customHeight="1">
      <c r="A87" s="1767" t="s">
        <v>16</v>
      </c>
      <c r="B87" t="s">
        <v>4036</v>
      </c>
      <c r="C87" t="s">
        <v>4037</v>
      </c>
      <c r="D87" t="s">
        <v>4072</v>
      </c>
      <c r="E87" t="s">
        <v>4073</v>
      </c>
      <c r="F87" t="s">
        <v>3883</v>
      </c>
      <c r="G87" t="s">
        <v>4074</v>
      </c>
    </row>
    <row r="88" spans="1:7" ht="11.25" customHeight="1">
      <c r="A88" s="1767" t="s">
        <v>16</v>
      </c>
      <c r="B88" t="s">
        <v>4036</v>
      </c>
      <c r="C88" t="s">
        <v>4037</v>
      </c>
      <c r="D88" t="s">
        <v>4075</v>
      </c>
      <c r="E88" t="s">
        <v>4076</v>
      </c>
      <c r="F88" t="s">
        <v>3883</v>
      </c>
      <c r="G88" t="s">
        <v>4077</v>
      </c>
    </row>
    <row r="89" spans="1:7" ht="11.25" customHeight="1">
      <c r="A89" s="1767" t="s">
        <v>16</v>
      </c>
      <c r="B89" t="s">
        <v>4036</v>
      </c>
      <c r="C89" t="s">
        <v>4037</v>
      </c>
      <c r="D89" t="s">
        <v>4078</v>
      </c>
      <c r="E89" t="s">
        <v>4079</v>
      </c>
      <c r="F89" t="s">
        <v>3883</v>
      </c>
      <c r="G89" t="s">
        <v>4080</v>
      </c>
    </row>
    <row r="90" spans="1:7" ht="11.25" customHeight="1">
      <c r="A90" s="1767" t="s">
        <v>16</v>
      </c>
      <c r="B90" t="s">
        <v>4081</v>
      </c>
      <c r="C90" t="s">
        <v>4082</v>
      </c>
      <c r="D90" t="s">
        <v>4081</v>
      </c>
      <c r="E90" t="s">
        <v>4082</v>
      </c>
      <c r="F90" t="s">
        <v>3878</v>
      </c>
      <c r="G90" t="s">
        <v>4083</v>
      </c>
    </row>
    <row r="91" spans="1:7" ht="11.25" customHeight="1">
      <c r="A91" s="1767" t="s">
        <v>16</v>
      </c>
      <c r="B91" t="s">
        <v>4084</v>
      </c>
      <c r="C91" t="s">
        <v>4085</v>
      </c>
      <c r="D91" t="s">
        <v>4084</v>
      </c>
      <c r="E91" t="s">
        <v>4085</v>
      </c>
      <c r="F91" t="s">
        <v>3878</v>
      </c>
      <c r="G91" t="s">
        <v>4086</v>
      </c>
    </row>
    <row r="92" spans="1:7" ht="11.25" customHeight="1">
      <c r="A92" s="1767" t="s">
        <v>16</v>
      </c>
      <c r="B92" t="s">
        <v>106</v>
      </c>
      <c r="C92" t="s">
        <v>4087</v>
      </c>
      <c r="D92" t="s">
        <v>4088</v>
      </c>
      <c r="E92" t="s">
        <v>4089</v>
      </c>
      <c r="F92" t="s">
        <v>3883</v>
      </c>
      <c r="G92" t="s">
        <v>4090</v>
      </c>
    </row>
    <row r="93" spans="1:7" ht="11.25" customHeight="1">
      <c r="A93" s="1767" t="s">
        <v>16</v>
      </c>
      <c r="B93" t="s">
        <v>106</v>
      </c>
      <c r="C93" t="s">
        <v>4087</v>
      </c>
      <c r="D93" t="s">
        <v>4091</v>
      </c>
      <c r="E93" t="s">
        <v>4092</v>
      </c>
      <c r="F93" t="s">
        <v>3883</v>
      </c>
      <c r="G93" t="s">
        <v>4093</v>
      </c>
    </row>
    <row r="94" spans="1:7" ht="11.25" customHeight="1">
      <c r="A94" s="1767" t="s">
        <v>16</v>
      </c>
      <c r="B94" t="s">
        <v>106</v>
      </c>
      <c r="C94" t="s">
        <v>4087</v>
      </c>
      <c r="D94" t="s">
        <v>4094</v>
      </c>
      <c r="E94" t="s">
        <v>4095</v>
      </c>
      <c r="F94" t="s">
        <v>3883</v>
      </c>
      <c r="G94" t="s">
        <v>4096</v>
      </c>
    </row>
    <row r="95" spans="1:7" ht="11.25" customHeight="1">
      <c r="A95" s="1767" t="s">
        <v>16</v>
      </c>
      <c r="B95" t="s">
        <v>106</v>
      </c>
      <c r="C95" t="s">
        <v>4087</v>
      </c>
      <c r="D95" t="s">
        <v>110</v>
      </c>
      <c r="E95" t="s">
        <v>111</v>
      </c>
      <c r="F95" t="s">
        <v>3883</v>
      </c>
      <c r="G95" t="s">
        <v>109</v>
      </c>
    </row>
    <row r="96" spans="1:7" ht="11.25" customHeight="1">
      <c r="A96" s="1767" t="s">
        <v>16</v>
      </c>
      <c r="B96" t="s">
        <v>106</v>
      </c>
      <c r="C96" t="s">
        <v>4087</v>
      </c>
      <c r="D96" t="s">
        <v>4097</v>
      </c>
      <c r="E96" t="s">
        <v>4098</v>
      </c>
      <c r="F96" t="s">
        <v>3883</v>
      </c>
      <c r="G96" t="s">
        <v>4099</v>
      </c>
    </row>
    <row r="97" spans="1:7" ht="11.25" customHeight="1">
      <c r="A97" s="1767" t="s">
        <v>16</v>
      </c>
      <c r="B97" t="s">
        <v>106</v>
      </c>
      <c r="C97" t="s">
        <v>4087</v>
      </c>
      <c r="D97" t="s">
        <v>4100</v>
      </c>
      <c r="E97" t="s">
        <v>4101</v>
      </c>
      <c r="F97" t="s">
        <v>3883</v>
      </c>
      <c r="G97" t="s">
        <v>4102</v>
      </c>
    </row>
    <row r="98" spans="1:7" ht="11.25" customHeight="1">
      <c r="A98" s="1767" t="s">
        <v>16</v>
      </c>
      <c r="B98" t="s">
        <v>106</v>
      </c>
      <c r="C98" t="s">
        <v>4087</v>
      </c>
      <c r="D98" t="s">
        <v>106</v>
      </c>
      <c r="E98" t="s">
        <v>4087</v>
      </c>
      <c r="F98" t="s">
        <v>3886</v>
      </c>
      <c r="G98" t="s">
        <v>4103</v>
      </c>
    </row>
    <row r="99" spans="1:7" ht="11.25" customHeight="1">
      <c r="A99" s="1767" t="s">
        <v>16</v>
      </c>
      <c r="B99" t="s">
        <v>106</v>
      </c>
      <c r="C99" t="s">
        <v>4087</v>
      </c>
      <c r="D99" t="s">
        <v>4104</v>
      </c>
      <c r="E99" t="s">
        <v>4105</v>
      </c>
      <c r="F99" t="s">
        <v>3883</v>
      </c>
      <c r="G99" t="s">
        <v>4106</v>
      </c>
    </row>
    <row r="100" spans="1:7" ht="11.25" customHeight="1">
      <c r="A100" s="1767" t="s">
        <v>16</v>
      </c>
      <c r="B100" t="s">
        <v>106</v>
      </c>
      <c r="C100" t="s">
        <v>4087</v>
      </c>
      <c r="D100" t="s">
        <v>4107</v>
      </c>
      <c r="E100" t="s">
        <v>4108</v>
      </c>
      <c r="F100" t="s">
        <v>3883</v>
      </c>
      <c r="G100" t="s">
        <v>4109</v>
      </c>
    </row>
    <row r="101" spans="1:7" ht="11.25" customHeight="1">
      <c r="A101" s="1767" t="s">
        <v>16</v>
      </c>
      <c r="B101" t="s">
        <v>106</v>
      </c>
      <c r="C101" t="s">
        <v>4087</v>
      </c>
      <c r="D101" t="s">
        <v>107</v>
      </c>
      <c r="E101" t="s">
        <v>108</v>
      </c>
      <c r="F101" t="s">
        <v>3883</v>
      </c>
      <c r="G101" t="s">
        <v>105</v>
      </c>
    </row>
    <row r="102" spans="1:7" ht="11.25" customHeight="1">
      <c r="A102" s="1767" t="s">
        <v>16</v>
      </c>
      <c r="B102" t="s">
        <v>106</v>
      </c>
      <c r="C102" t="s">
        <v>4087</v>
      </c>
      <c r="D102" t="s">
        <v>4110</v>
      </c>
      <c r="E102" t="s">
        <v>4111</v>
      </c>
      <c r="F102" t="s">
        <v>3883</v>
      </c>
      <c r="G102" t="s">
        <v>4112</v>
      </c>
    </row>
    <row r="103" spans="1:7" ht="11.25" customHeight="1">
      <c r="A103" s="1767" t="s">
        <v>16</v>
      </c>
      <c r="B103" t="s">
        <v>4113</v>
      </c>
      <c r="C103" t="s">
        <v>4114</v>
      </c>
      <c r="D103" t="s">
        <v>4113</v>
      </c>
      <c r="E103" t="s">
        <v>4114</v>
      </c>
      <c r="F103" t="s">
        <v>3875</v>
      </c>
      <c r="G103" t="s">
        <v>4115</v>
      </c>
    </row>
    <row r="104" spans="1:7" ht="11.25" customHeight="1">
      <c r="A104" s="1767" t="s">
        <v>16</v>
      </c>
      <c r="B104" t="s">
        <v>4116</v>
      </c>
      <c r="C104" t="s">
        <v>4117</v>
      </c>
      <c r="D104" t="s">
        <v>4116</v>
      </c>
      <c r="E104" t="s">
        <v>4117</v>
      </c>
      <c r="F104" t="s">
        <v>3878</v>
      </c>
      <c r="G104" t="s">
        <v>4118</v>
      </c>
    </row>
    <row r="105" spans="1:7" ht="11.25" customHeight="1">
      <c r="A105" s="1767" t="s">
        <v>16</v>
      </c>
      <c r="B105" t="s">
        <v>4119</v>
      </c>
      <c r="C105" t="s">
        <v>4120</v>
      </c>
      <c r="D105" t="s">
        <v>4119</v>
      </c>
      <c r="E105" t="s">
        <v>4120</v>
      </c>
      <c r="F105" t="s">
        <v>3878</v>
      </c>
      <c r="G105" t="s">
        <v>4121</v>
      </c>
    </row>
    <row r="106" spans="1:7" ht="11.25" customHeight="1">
      <c r="A106" s="1767" t="s">
        <v>16</v>
      </c>
      <c r="B106" t="s">
        <v>4122</v>
      </c>
      <c r="C106" t="s">
        <v>4123</v>
      </c>
      <c r="D106" t="s">
        <v>4122</v>
      </c>
      <c r="E106" t="s">
        <v>4123</v>
      </c>
      <c r="F106" t="s">
        <v>3878</v>
      </c>
      <c r="G106" t="s">
        <v>4124</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9"/>
  <sheetViews>
    <sheetView showGridLines="0" workbookViewId="0"/>
  </sheetViews>
  <sheetFormatPr defaultColWidth="9.140625" defaultRowHeight="11.25" customHeight="1"/>
  <cols>
    <col min="1" max="1" width="13.85546875" style="1613" customWidth="1"/>
  </cols>
  <sheetData>
    <row r="1" spans="1:9" ht="11.25" customHeight="1">
      <c r="A1" s="764" t="s">
        <v>4125</v>
      </c>
      <c r="B1" s="2" t="s">
        <v>4126</v>
      </c>
      <c r="C1" s="2" t="s">
        <v>4127</v>
      </c>
      <c r="D1" s="2" t="s">
        <v>4128</v>
      </c>
      <c r="E1" s="2" t="s">
        <v>4129</v>
      </c>
      <c r="F1" s="2" t="s">
        <v>4130</v>
      </c>
      <c r="G1" s="2" t="s">
        <v>4131</v>
      </c>
      <c r="H1" s="2" t="s">
        <v>4132</v>
      </c>
      <c r="I1" s="2" t="s">
        <v>4133</v>
      </c>
    </row>
    <row r="2" spans="1:9" ht="11.25" customHeight="1">
      <c r="A2" s="1613" t="s">
        <v>100</v>
      </c>
      <c r="B2" t="s">
        <v>4134</v>
      </c>
      <c r="C2" t="s">
        <v>22</v>
      </c>
      <c r="D2" t="s">
        <v>4135</v>
      </c>
      <c r="E2" t="s">
        <v>4136</v>
      </c>
      <c r="F2" t="s">
        <v>22</v>
      </c>
      <c r="G2" t="s">
        <v>22</v>
      </c>
      <c r="H2" t="s">
        <v>22</v>
      </c>
      <c r="I2" t="s">
        <v>22</v>
      </c>
    </row>
    <row r="3" spans="1:9" ht="11.25" customHeight="1">
      <c r="A3" s="1613" t="s">
        <v>103</v>
      </c>
      <c r="B3" t="s">
        <v>4137</v>
      </c>
      <c r="C3" t="s">
        <v>22</v>
      </c>
      <c r="D3" t="s">
        <v>4135</v>
      </c>
      <c r="E3" t="s">
        <v>4138</v>
      </c>
      <c r="F3" t="s">
        <v>22</v>
      </c>
      <c r="G3" t="s">
        <v>22</v>
      </c>
      <c r="H3" t="s">
        <v>22</v>
      </c>
      <c r="I3" t="s">
        <v>22</v>
      </c>
    </row>
    <row r="4" spans="1:9" ht="11.25" customHeight="1">
      <c r="A4" s="1613" t="s">
        <v>91</v>
      </c>
      <c r="B4" t="s">
        <v>4139</v>
      </c>
      <c r="C4" t="s">
        <v>22</v>
      </c>
      <c r="D4" t="s">
        <v>4135</v>
      </c>
      <c r="E4" t="s">
        <v>4140</v>
      </c>
      <c r="F4" t="s">
        <v>22</v>
      </c>
      <c r="G4" t="s">
        <v>22</v>
      </c>
      <c r="H4" t="s">
        <v>22</v>
      </c>
      <c r="I4" t="s">
        <v>22</v>
      </c>
    </row>
    <row r="5" spans="1:9" ht="11.25" customHeight="1">
      <c r="A5" s="1613" t="s">
        <v>92</v>
      </c>
      <c r="B5" t="s">
        <v>4141</v>
      </c>
      <c r="C5" t="s">
        <v>22</v>
      </c>
      <c r="D5" t="s">
        <v>4135</v>
      </c>
      <c r="E5" t="s">
        <v>4142</v>
      </c>
      <c r="F5" t="s">
        <v>22</v>
      </c>
      <c r="G5" t="s">
        <v>22</v>
      </c>
      <c r="H5" t="s">
        <v>22</v>
      </c>
      <c r="I5" t="s">
        <v>22</v>
      </c>
    </row>
    <row r="6" spans="1:9" ht="11.25" customHeight="1">
      <c r="A6" s="1613" t="s">
        <v>123</v>
      </c>
      <c r="B6" t="s">
        <v>4143</v>
      </c>
      <c r="C6" t="s">
        <v>22</v>
      </c>
      <c r="D6" t="s">
        <v>4135</v>
      </c>
      <c r="E6" t="s">
        <v>4144</v>
      </c>
      <c r="F6" t="s">
        <v>22</v>
      </c>
      <c r="G6" t="s">
        <v>22</v>
      </c>
      <c r="H6" t="s">
        <v>22</v>
      </c>
      <c r="I6" t="s">
        <v>22</v>
      </c>
    </row>
    <row r="7" spans="1:9" ht="11.25" customHeight="1">
      <c r="A7" s="1613" t="s">
        <v>93</v>
      </c>
      <c r="B7" t="s">
        <v>4145</v>
      </c>
      <c r="C7" t="s">
        <v>4146</v>
      </c>
      <c r="D7" t="s">
        <v>1152</v>
      </c>
      <c r="E7" t="s">
        <v>4147</v>
      </c>
      <c r="F7" t="s">
        <v>4148</v>
      </c>
      <c r="G7" t="s">
        <v>1155</v>
      </c>
      <c r="H7" t="s">
        <v>4149</v>
      </c>
      <c r="I7" t="s">
        <v>1152</v>
      </c>
    </row>
    <row r="8" spans="1:9" ht="11.25" customHeight="1">
      <c r="A8" s="1613" t="s">
        <v>94</v>
      </c>
      <c r="B8" t="s">
        <v>1148</v>
      </c>
      <c r="C8" t="s">
        <v>4150</v>
      </c>
      <c r="D8" t="s">
        <v>1152</v>
      </c>
      <c r="E8" t="s">
        <v>1153</v>
      </c>
      <c r="F8" t="s">
        <v>1154</v>
      </c>
      <c r="G8" t="s">
        <v>1155</v>
      </c>
      <c r="H8" t="s">
        <v>1156</v>
      </c>
      <c r="I8" t="s">
        <v>1157</v>
      </c>
    </row>
    <row r="9" spans="1:9" ht="11.25" customHeight="1">
      <c r="A9" s="1613" t="s">
        <v>124</v>
      </c>
      <c r="B9" t="s">
        <v>1148</v>
      </c>
      <c r="C9" t="s">
        <v>4150</v>
      </c>
      <c r="D9" t="s">
        <v>1152</v>
      </c>
      <c r="E9" t="s">
        <v>1153</v>
      </c>
      <c r="F9" t="s">
        <v>1154</v>
      </c>
      <c r="G9" t="s">
        <v>1155</v>
      </c>
      <c r="H9" t="s">
        <v>1156</v>
      </c>
      <c r="I9" t="s">
        <v>4151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5" hidden="1" customWidth="1"/>
    <col min="2" max="2" width="9.140625" style="1558" hidden="1" customWidth="1"/>
    <col min="3" max="3" width="3" style="1759" customWidth="1"/>
    <col min="4" max="4" width="5" style="1558" customWidth="1"/>
    <col min="5" max="5" width="48" style="1558" customWidth="1"/>
    <col min="6" max="6" width="38" style="1558" customWidth="1"/>
    <col min="7" max="7" width="1.7109375" style="1558" hidden="1" customWidth="1"/>
    <col min="8" max="11" width="19.85546875" style="1558" customWidth="1"/>
    <col min="12" max="12" width="9.7109375" style="1558" customWidth="1"/>
    <col min="13" max="18" width="19.85546875" style="1558" customWidth="1"/>
    <col min="19" max="19" width="1.7109375" style="1558" hidden="1" customWidth="1"/>
    <col min="20" max="22" width="19.85546875" style="1558" hidden="1" customWidth="1"/>
    <col min="23" max="23" width="1.7109375" style="1558" hidden="1" customWidth="1"/>
    <col min="24" max="26" width="19.85546875" style="1558" hidden="1" customWidth="1"/>
    <col min="27" max="27" width="1.7109375" style="1558" hidden="1" customWidth="1"/>
    <col min="28" max="29" width="19.85546875" style="1558" hidden="1" customWidth="1"/>
    <col min="30" max="30" width="1.7109375" style="1558" hidden="1" customWidth="1"/>
    <col min="31" max="31" width="103.7109375" style="1558" customWidth="1"/>
    <col min="32" max="34" width="103.7109375" style="1558" hidden="1" customWidth="1"/>
    <col min="35" max="35" width="3" style="1739" customWidth="1"/>
    <col min="36" max="38" width="10" style="1565" customWidth="1"/>
    <col min="39" max="39" width="13.7109375" style="1565" hidden="1" customWidth="1"/>
    <col min="40" max="40" width="15" style="1565" customWidth="1"/>
    <col min="41" max="41" width="16" style="1565" customWidth="1"/>
    <col min="42" max="45" width="10" style="1565" customWidth="1"/>
    <col min="46" max="46" width="10.5703125" style="1558" hidden="1"/>
  </cols>
  <sheetData>
    <row r="1" spans="1:46" ht="22.5" hidden="1" customHeight="1">
      <c r="E1" s="348"/>
      <c r="F1" s="348"/>
      <c r="G1" s="348"/>
      <c r="H1" s="2354" t="s">
        <v>371</v>
      </c>
      <c r="I1" s="2354"/>
      <c r="J1" s="2354"/>
      <c r="K1" s="2354"/>
      <c r="L1" s="2354"/>
      <c r="M1" s="2354"/>
      <c r="N1" s="2354"/>
      <c r="O1" s="2354"/>
      <c r="P1" s="2354"/>
      <c r="Q1" s="2354"/>
      <c r="R1" s="2354"/>
      <c r="T1" s="2354" t="s">
        <v>372</v>
      </c>
      <c r="U1" s="2354"/>
      <c r="V1" s="2354"/>
      <c r="X1" s="2354" t="s">
        <v>373</v>
      </c>
      <c r="Y1" s="2354"/>
      <c r="Z1" s="2354"/>
      <c r="AB1" s="2354" t="s">
        <v>374</v>
      </c>
      <c r="AC1" s="2354"/>
      <c r="AT1" s="383" t="s">
        <v>14</v>
      </c>
    </row>
    <row r="2" spans="1:46" ht="14.25" hidden="1" customHeight="1">
      <c r="AT2" s="383">
        <v>0</v>
      </c>
    </row>
    <row r="3" spans="1:46" s="1536" customFormat="1" ht="5.25" customHeight="1">
      <c r="C3" s="637"/>
      <c r="D3" s="638"/>
      <c r="E3" s="638"/>
      <c r="F3" s="638"/>
      <c r="G3" s="638"/>
      <c r="H3" s="638" t="s">
        <v>375</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41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418"/>
      <c r="F4" s="2418"/>
      <c r="G4" s="2418"/>
      <c r="H4" s="2418"/>
      <c r="I4" s="2418"/>
      <c r="J4" s="2418"/>
      <c r="K4" s="2418"/>
      <c r="L4" s="2418"/>
      <c r="M4" s="2418"/>
      <c r="N4" s="2418"/>
      <c r="O4" s="2418"/>
      <c r="P4" s="2418"/>
      <c r="Q4" s="2418"/>
      <c r="R4" s="2419"/>
      <c r="S4" s="782"/>
      <c r="T4" s="635"/>
      <c r="U4" s="635"/>
      <c r="V4" s="635"/>
      <c r="W4" s="635"/>
      <c r="X4" s="635"/>
      <c r="Y4" s="635"/>
      <c r="Z4" s="635"/>
      <c r="AA4" s="635"/>
      <c r="AB4" s="635"/>
      <c r="AC4" s="635"/>
      <c r="AD4" s="635"/>
      <c r="AE4" s="427"/>
      <c r="AF4" s="427"/>
      <c r="AG4" s="427"/>
      <c r="AH4" s="427"/>
      <c r="AI4" s="424"/>
      <c r="AT4" s="383">
        <v>38</v>
      </c>
    </row>
    <row r="5" spans="1:46" s="1558" customFormat="1" ht="18" customHeight="1">
      <c r="A5" s="692"/>
      <c r="C5" s="751"/>
      <c r="D5" s="2471" t="str">
        <f>IF(org=0,"Не определено",org)</f>
        <v>ПАО "ТГК-2"</v>
      </c>
      <c r="E5" s="2472"/>
      <c r="F5" s="2472"/>
      <c r="G5" s="2472"/>
      <c r="H5" s="2472"/>
      <c r="I5" s="2472"/>
      <c r="J5" s="2472"/>
      <c r="K5" s="2472"/>
      <c r="L5" s="2472"/>
      <c r="M5" s="2472"/>
      <c r="N5" s="2472"/>
      <c r="O5" s="2472"/>
      <c r="P5" s="2472"/>
      <c r="Q5" s="2472"/>
      <c r="R5" s="2473"/>
      <c r="S5" s="782"/>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1">
        <v>17</v>
      </c>
    </row>
    <row r="6" spans="1:46" s="1535" customFormat="1" ht="11.45" customHeight="1">
      <c r="A6" s="415"/>
      <c r="C6" s="422"/>
      <c r="D6" s="421"/>
      <c r="E6" s="421"/>
      <c r="F6" s="421"/>
      <c r="G6" s="421"/>
      <c r="H6" s="421"/>
      <c r="I6" s="421"/>
      <c r="J6" s="421"/>
      <c r="K6" s="421"/>
      <c r="L6" s="421"/>
      <c r="M6" s="421"/>
      <c r="N6" s="421"/>
      <c r="O6" s="421"/>
      <c r="P6" s="421"/>
      <c r="Q6" s="421"/>
      <c r="R6" s="687"/>
      <c r="S6" s="687"/>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65" customHeight="1">
      <c r="C7" s="386"/>
      <c r="D7" s="2474" t="s">
        <v>319</v>
      </c>
      <c r="E7" s="2475"/>
      <c r="F7" s="2475"/>
      <c r="G7" s="2475"/>
      <c r="H7" s="2475"/>
      <c r="I7" s="2475"/>
      <c r="J7" s="2475"/>
      <c r="K7" s="2475"/>
      <c r="L7" s="2475"/>
      <c r="M7" s="2475"/>
      <c r="N7" s="2475"/>
      <c r="O7" s="2475"/>
      <c r="P7" s="2475"/>
      <c r="Q7" s="2475"/>
      <c r="R7" s="2475"/>
      <c r="S7" s="2475"/>
      <c r="T7" s="2475"/>
      <c r="U7" s="2475"/>
      <c r="V7" s="2475"/>
      <c r="W7" s="2475"/>
      <c r="X7" s="2475"/>
      <c r="Y7" s="2475"/>
      <c r="Z7" s="2475"/>
      <c r="AA7" s="2475"/>
      <c r="AB7" s="2475"/>
      <c r="AC7" s="2475"/>
      <c r="AD7" s="2476"/>
      <c r="AE7" s="2415" t="s">
        <v>320</v>
      </c>
      <c r="AF7" s="2415" t="s">
        <v>320</v>
      </c>
      <c r="AG7" s="2415" t="s">
        <v>320</v>
      </c>
      <c r="AH7" s="2415" t="s">
        <v>320</v>
      </c>
      <c r="AT7" s="383">
        <v>14</v>
      </c>
    </row>
    <row r="8" spans="1:46" ht="27.4" customHeight="1">
      <c r="C8" s="386"/>
      <c r="D8" s="2371" t="s">
        <v>89</v>
      </c>
      <c r="E8" s="2415" t="str">
        <f>"Наименование "&amp;IF(TEMPLATE_SPHERE&lt;&gt;"HEAT","централизованной ","")&amp;"системы "&amp;TEMPLATE_SPHERE_RUS</f>
        <v>Наименование системы теплоснабжения</v>
      </c>
      <c r="F8" s="2415" t="str">
        <f>IF(TEMPLATE_SPHERE&lt;&gt;"HEAT","Регулируемый вид деятельности","Вид регулируемой деятельности")</f>
        <v>Вид регулируемой деятельности</v>
      </c>
      <c r="G8" s="757"/>
      <c r="H8" s="2479" t="s">
        <v>376</v>
      </c>
      <c r="I8" s="2481" t="s">
        <v>377</v>
      </c>
      <c r="J8" s="2415" t="s">
        <v>378</v>
      </c>
      <c r="K8" s="2415"/>
      <c r="L8" s="2415"/>
      <c r="M8" s="2474"/>
      <c r="N8" s="2415" t="s">
        <v>379</v>
      </c>
      <c r="O8" s="2415"/>
      <c r="P8" s="2415" t="s">
        <v>380</v>
      </c>
      <c r="Q8" s="2415"/>
      <c r="R8" s="2483" t="s">
        <v>381</v>
      </c>
      <c r="S8" s="753"/>
      <c r="T8" s="2479" t="s">
        <v>382</v>
      </c>
      <c r="U8" s="2479" t="s">
        <v>383</v>
      </c>
      <c r="V8" s="2479" t="s">
        <v>384</v>
      </c>
      <c r="W8" s="755"/>
      <c r="X8" s="2479" t="s">
        <v>385</v>
      </c>
      <c r="Y8" s="2479" t="s">
        <v>386</v>
      </c>
      <c r="Z8" s="2479" t="s">
        <v>387</v>
      </c>
      <c r="AA8" s="755"/>
      <c r="AB8" s="2479" t="s">
        <v>388</v>
      </c>
      <c r="AC8" s="2479" t="s">
        <v>381</v>
      </c>
      <c r="AD8" s="755"/>
      <c r="AE8" s="2415"/>
      <c r="AF8" s="2415"/>
      <c r="AG8" s="2415"/>
      <c r="AH8" s="2415"/>
      <c r="AT8" s="383">
        <v>26</v>
      </c>
    </row>
    <row r="9" spans="1:46" ht="46.15" customHeight="1">
      <c r="C9" s="386"/>
      <c r="D9" s="2371"/>
      <c r="E9" s="2415"/>
      <c r="F9" s="2415"/>
      <c r="G9" s="758"/>
      <c r="H9" s="2480"/>
      <c r="I9" s="2482"/>
      <c r="J9" s="361" t="s">
        <v>389</v>
      </c>
      <c r="K9" s="361" t="s">
        <v>390</v>
      </c>
      <c r="L9" s="361" t="s">
        <v>391</v>
      </c>
      <c r="M9" s="367" t="s">
        <v>392</v>
      </c>
      <c r="N9" s="361" t="s">
        <v>393</v>
      </c>
      <c r="O9" s="361" t="s">
        <v>392</v>
      </c>
      <c r="P9" s="361" t="s">
        <v>394</v>
      </c>
      <c r="Q9" s="361" t="s">
        <v>392</v>
      </c>
      <c r="R9" s="2484"/>
      <c r="S9" s="754"/>
      <c r="T9" s="2480"/>
      <c r="U9" s="2480"/>
      <c r="V9" s="2480"/>
      <c r="W9" s="756"/>
      <c r="X9" s="2480"/>
      <c r="Y9" s="2480"/>
      <c r="Z9" s="2480"/>
      <c r="AA9" s="756"/>
      <c r="AB9" s="2480"/>
      <c r="AC9" s="2480"/>
      <c r="AD9" s="756"/>
      <c r="AE9" s="2415"/>
      <c r="AF9" s="2415"/>
      <c r="AG9" s="2415"/>
      <c r="AH9" s="2415"/>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4" customFormat="1" ht="11.25" hidden="1" customHeight="1">
      <c r="C11" s="434"/>
      <c r="D11" s="435" t="s">
        <v>395</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65" customHeight="1">
      <c r="A12" s="383"/>
      <c r="C12" s="386"/>
      <c r="D12" s="370" t="s">
        <v>100</v>
      </c>
      <c r="E12" s="1697" t="s">
        <v>22</v>
      </c>
      <c r="F12" s="784"/>
      <c r="G12" s="785"/>
      <c r="H12" s="1698"/>
      <c r="I12" s="1698"/>
      <c r="J12" s="369"/>
      <c r="K12" s="1780"/>
      <c r="L12" s="368"/>
      <c r="M12" s="1780"/>
      <c r="N12" s="369"/>
      <c r="O12" s="1780"/>
      <c r="P12" s="369"/>
      <c r="Q12" s="1780"/>
      <c r="R12" s="369"/>
      <c r="S12" s="783"/>
      <c r="T12" s="1698"/>
      <c r="U12" s="369"/>
      <c r="V12" s="369"/>
      <c r="W12" s="756"/>
      <c r="X12" s="1698"/>
      <c r="Y12" s="369"/>
      <c r="Z12" s="369"/>
      <c r="AA12" s="756"/>
      <c r="AB12" s="1698"/>
      <c r="AC12" s="369"/>
      <c r="AD12" s="756"/>
      <c r="AE12" s="2477" t="s">
        <v>396</v>
      </c>
      <c r="AF12" s="2477" t="s">
        <v>397</v>
      </c>
      <c r="AG12" s="2477" t="s">
        <v>398</v>
      </c>
      <c r="AH12" s="2477" t="s">
        <v>399</v>
      </c>
      <c r="AI12" s="383"/>
      <c r="AM12" s="447"/>
      <c r="AP12" s="436" t="s">
        <v>400</v>
      </c>
      <c r="AQ12" s="436" t="s">
        <v>400</v>
      </c>
      <c r="AT12" s="383">
        <v>14</v>
      </c>
    </row>
    <row r="13" spans="1:46" ht="18" customHeight="1">
      <c r="A13" s="383"/>
      <c r="C13" s="386"/>
      <c r="D13" s="341"/>
      <c r="E13" s="798" t="str">
        <f>IF(TITLE_DIFFERENTIATION_TYPE="нет","","Добавить систему")</f>
        <v/>
      </c>
      <c r="F13" s="798" t="str">
        <f>IF(TITLE_DIFFERENTIATION_TYPE="нет","Добавить вид деятельности","")</f>
        <v>Добавить вид деятельности</v>
      </c>
      <c r="G13" s="250"/>
      <c r="H13" s="342"/>
      <c r="I13" s="342"/>
      <c r="J13" s="342"/>
      <c r="K13" s="342"/>
      <c r="L13" s="342"/>
      <c r="M13" s="342"/>
      <c r="N13" s="342"/>
      <c r="O13" s="342"/>
      <c r="P13" s="342"/>
      <c r="Q13" s="342"/>
      <c r="R13" s="342"/>
      <c r="S13" s="342"/>
      <c r="T13" s="342"/>
      <c r="U13" s="342"/>
      <c r="V13" s="342"/>
      <c r="W13" s="342"/>
      <c r="X13" s="342"/>
      <c r="Y13" s="342"/>
      <c r="Z13" s="342"/>
      <c r="AA13" s="342"/>
      <c r="AB13" s="342"/>
      <c r="AC13" s="342"/>
      <c r="AD13" s="786"/>
      <c r="AE13" s="2478"/>
      <c r="AF13" s="2478"/>
      <c r="AG13" s="2478"/>
      <c r="AH13" s="2478"/>
      <c r="AI13" s="383"/>
      <c r="AT13" s="383">
        <v>17</v>
      </c>
    </row>
    <row r="14" spans="1:46" ht="14.65" customHeight="1">
      <c r="AI14" s="383"/>
      <c r="AT14" s="383">
        <v>14</v>
      </c>
    </row>
    <row r="15" spans="1:46" ht="14.65" customHeight="1">
      <c r="E15" s="691"/>
      <c r="L15" s="691"/>
      <c r="AT15" s="383">
        <v>14</v>
      </c>
    </row>
    <row r="16" spans="1:46" ht="14.65" customHeight="1">
      <c r="L16" s="691"/>
      <c r="AT16" s="383">
        <v>14</v>
      </c>
    </row>
    <row r="17" spans="1:46" ht="14.65" customHeight="1">
      <c r="L17" s="691"/>
      <c r="AT17" s="383">
        <v>14</v>
      </c>
    </row>
    <row r="18" spans="1:46" ht="22.5" hidden="1" customHeight="1">
      <c r="A18" s="385" t="s">
        <v>83</v>
      </c>
      <c r="B18" s="383">
        <v>0</v>
      </c>
      <c r="C18" s="387">
        <v>3</v>
      </c>
      <c r="D18" s="383">
        <v>5</v>
      </c>
      <c r="E18" s="383">
        <v>48</v>
      </c>
      <c r="F18" s="383">
        <v>38</v>
      </c>
      <c r="G18" s="691">
        <v>0</v>
      </c>
      <c r="H18" s="383">
        <v>0</v>
      </c>
      <c r="I18" s="383">
        <v>0</v>
      </c>
      <c r="J18" s="383">
        <v>0</v>
      </c>
      <c r="K18" s="383">
        <v>0</v>
      </c>
      <c r="L18" s="383">
        <v>0</v>
      </c>
      <c r="M18" s="383">
        <v>0</v>
      </c>
      <c r="N18" s="383">
        <v>0</v>
      </c>
      <c r="O18" s="383">
        <v>0</v>
      </c>
      <c r="P18" s="383">
        <v>0</v>
      </c>
      <c r="Q18" s="383">
        <v>0</v>
      </c>
      <c r="R18" s="383">
        <v>0</v>
      </c>
      <c r="S18" s="691">
        <v>0</v>
      </c>
      <c r="T18" s="441">
        <v>0</v>
      </c>
      <c r="U18" s="441">
        <v>0</v>
      </c>
      <c r="V18" s="441">
        <v>0</v>
      </c>
      <c r="W18" s="691">
        <v>0</v>
      </c>
      <c r="X18" s="441">
        <v>0</v>
      </c>
      <c r="Y18" s="441">
        <v>0</v>
      </c>
      <c r="Z18" s="441">
        <v>0</v>
      </c>
      <c r="AA18" s="691">
        <v>0</v>
      </c>
      <c r="AB18" s="441">
        <v>0</v>
      </c>
      <c r="AC18" s="441">
        <v>0</v>
      </c>
      <c r="AD18" s="691">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3"/>
  <sheetViews>
    <sheetView showGridLines="0" workbookViewId="0"/>
  </sheetViews>
  <sheetFormatPr defaultColWidth="9.140625" defaultRowHeight="11.25" customHeight="1"/>
  <cols>
    <col min="1" max="2" width="9.140625" style="120"/>
  </cols>
  <sheetData>
    <row r="1" spans="1:2" ht="11.25" customHeight="1">
      <c r="A1" s="120" t="s">
        <v>151</v>
      </c>
      <c r="B1" s="120" t="s">
        <v>4152</v>
      </c>
    </row>
    <row r="2" spans="1:2" ht="11.25" customHeight="1">
      <c r="A2" s="120" t="s">
        <v>99</v>
      </c>
      <c r="B2" s="120" t="s">
        <v>4153</v>
      </c>
    </row>
    <row r="3" spans="1:2" ht="11.25" customHeight="1">
      <c r="A3" s="120" t="s">
        <v>113</v>
      </c>
      <c r="B3" s="120" t="s">
        <v>4154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3"/>
    <col min="2" max="2" width="65.28515625" style="1613" customWidth="1"/>
  </cols>
  <sheetData>
    <row r="1" spans="1:2" ht="11.25" customHeight="1">
      <c r="A1" s="764" t="s">
        <v>4155</v>
      </c>
      <c r="B1" s="764" t="s">
        <v>4156</v>
      </c>
    </row>
    <row r="2" spans="1:2" ht="11.25" customHeight="1">
      <c r="A2" s="764">
        <v>4213775</v>
      </c>
      <c r="B2" s="764" t="s">
        <v>1425</v>
      </c>
    </row>
    <row r="3" spans="1:2" ht="11.25" customHeight="1">
      <c r="A3" s="764">
        <v>4213784</v>
      </c>
      <c r="B3" s="764" t="s">
        <v>1456</v>
      </c>
    </row>
    <row r="4" spans="1:2" ht="11.25" customHeight="1">
      <c r="A4" s="764">
        <v>4213781</v>
      </c>
      <c r="B4" s="764" t="s">
        <v>1449</v>
      </c>
    </row>
    <row r="5" spans="1:2" ht="11.25" customHeight="1">
      <c r="A5" s="764">
        <v>4213776</v>
      </c>
      <c r="B5" s="764" t="s">
        <v>187</v>
      </c>
    </row>
    <row r="6" spans="1:2" ht="11.25" customHeight="1">
      <c r="A6" s="764">
        <v>4213777</v>
      </c>
      <c r="B6" s="764" t="s">
        <v>193</v>
      </c>
    </row>
    <row r="7" spans="1:2" ht="11.25" customHeight="1">
      <c r="A7" s="764">
        <v>4213778</v>
      </c>
      <c r="B7" s="764" t="s">
        <v>199</v>
      </c>
    </row>
    <row r="8" spans="1:2" ht="11.25" customHeight="1">
      <c r="A8" s="764">
        <v>4213780</v>
      </c>
      <c r="B8" s="764" t="s">
        <v>205</v>
      </c>
    </row>
    <row r="9" spans="1:2" ht="11.25" customHeight="1">
      <c r="A9" s="764">
        <v>4213779</v>
      </c>
      <c r="B9" s="764" t="s">
        <v>1584</v>
      </c>
    </row>
    <row r="10" spans="1:2" ht="11.25" customHeight="1">
      <c r="A10" s="764">
        <v>4213783</v>
      </c>
      <c r="B10" s="764" t="s">
        <v>1598</v>
      </c>
    </row>
    <row r="11" spans="1:2" ht="11.25" customHeight="1">
      <c r="A11" s="764">
        <v>4213782</v>
      </c>
      <c r="B11" s="764" t="s">
        <v>211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3"/>
  </cols>
  <sheetData>
    <row r="1" spans="1:2" ht="11.25" customHeight="1">
      <c r="A1" s="764" t="s">
        <v>4155</v>
      </c>
      <c r="B1" s="2" t="s">
        <v>4157</v>
      </c>
    </row>
    <row r="2" spans="1:2" ht="11.25" customHeight="1">
      <c r="A2" s="764" t="s">
        <v>136</v>
      </c>
      <c r="B2" t="s">
        <v>1693</v>
      </c>
    </row>
    <row r="3" spans="1:2" ht="11.25" customHeight="1">
      <c r="A3" s="1613" t="s">
        <v>4158</v>
      </c>
      <c r="B3" t="s">
        <v>1703</v>
      </c>
    </row>
    <row r="4" spans="1:2" ht="11.25" customHeight="1">
      <c r="A4" s="1613" t="s">
        <v>130</v>
      </c>
      <c r="B4" t="s">
        <v>1712</v>
      </c>
    </row>
    <row r="5" spans="1:2" ht="11.25" customHeight="1">
      <c r="A5" s="1613" t="s">
        <v>4159</v>
      </c>
      <c r="B5" t="s">
        <v>1721</v>
      </c>
    </row>
    <row r="6" spans="1:2" ht="11.25" customHeight="1">
      <c r="A6" s="1613" t="s">
        <v>4160</v>
      </c>
      <c r="B6" t="s">
        <v>1727</v>
      </c>
    </row>
    <row r="7" spans="1:2" ht="11.25" customHeight="1">
      <c r="A7" s="1613" t="s">
        <v>4161</v>
      </c>
      <c r="B7" t="s">
        <v>1735</v>
      </c>
    </row>
    <row r="8" spans="1:2" ht="11.25" customHeight="1">
      <c r="A8" s="1613" t="s">
        <v>4162</v>
      </c>
      <c r="B8" t="s">
        <v>1741</v>
      </c>
    </row>
    <row r="9" spans="1:2" ht="11.25" customHeight="1">
      <c r="A9" s="1613" t="s">
        <v>4163</v>
      </c>
      <c r="B9" t="s">
        <v>1747</v>
      </c>
    </row>
    <row r="10" spans="1:2" ht="11.25" customHeight="1">
      <c r="A10" s="1613" t="s">
        <v>4164</v>
      </c>
      <c r="B10" t="s">
        <v>1751</v>
      </c>
    </row>
    <row r="11" spans="1:2" ht="11.25" customHeight="1">
      <c r="A11" s="1613" t="s">
        <v>4165</v>
      </c>
      <c r="B11" t="s">
        <v>1758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05"/>
  <sheetViews>
    <sheetView showGridLines="0" workbookViewId="0"/>
  </sheetViews>
  <sheetFormatPr defaultRowHeight="11.25" customHeight="1"/>
  <sheetData>
    <row r="1" spans="1:7" ht="11.25" customHeight="1">
      <c r="A1" s="309" t="s">
        <v>3868</v>
      </c>
      <c r="B1" s="309" t="s">
        <v>3869</v>
      </c>
      <c r="C1" s="309" t="s">
        <v>3870</v>
      </c>
      <c r="D1" s="309" t="s">
        <v>3871</v>
      </c>
      <c r="E1" t="s">
        <v>3872</v>
      </c>
      <c r="F1" t="s">
        <v>3873</v>
      </c>
      <c r="G1" t="s">
        <v>3874</v>
      </c>
    </row>
    <row r="2" spans="1:7" ht="11.25" customHeight="1">
      <c r="A2" t="s">
        <v>16</v>
      </c>
      <c r="B2" t="s">
        <v>101</v>
      </c>
      <c r="C2" t="s">
        <v>102</v>
      </c>
      <c r="D2" t="s">
        <v>101</v>
      </c>
      <c r="E2" t="s">
        <v>102</v>
      </c>
      <c r="F2" t="s">
        <v>3875</v>
      </c>
      <c r="G2" t="s">
        <v>100</v>
      </c>
    </row>
    <row r="3" spans="1:7" ht="11.25" customHeight="1">
      <c r="A3" t="s">
        <v>16</v>
      </c>
      <c r="B3" t="s">
        <v>3876</v>
      </c>
      <c r="C3" t="s">
        <v>3877</v>
      </c>
      <c r="D3" t="s">
        <v>3876</v>
      </c>
      <c r="E3" t="s">
        <v>3877</v>
      </c>
      <c r="F3" t="s">
        <v>3878</v>
      </c>
      <c r="G3" t="s">
        <v>103</v>
      </c>
    </row>
    <row r="4" spans="1:7" ht="11.25" customHeight="1">
      <c r="A4" t="s">
        <v>16</v>
      </c>
      <c r="B4" t="s">
        <v>3879</v>
      </c>
      <c r="C4" t="s">
        <v>3880</v>
      </c>
      <c r="D4" t="s">
        <v>3881</v>
      </c>
      <c r="E4" t="s">
        <v>3882</v>
      </c>
      <c r="F4" t="s">
        <v>3883</v>
      </c>
      <c r="G4" t="s">
        <v>91</v>
      </c>
    </row>
    <row r="5" spans="1:7" ht="11.25" customHeight="1">
      <c r="A5" t="s">
        <v>16</v>
      </c>
      <c r="B5" t="s">
        <v>3879</v>
      </c>
      <c r="C5" t="s">
        <v>3880</v>
      </c>
      <c r="D5" t="s">
        <v>3884</v>
      </c>
      <c r="E5" t="s">
        <v>3885</v>
      </c>
      <c r="F5" t="s">
        <v>3883</v>
      </c>
      <c r="G5" t="s">
        <v>92</v>
      </c>
    </row>
    <row r="6" spans="1:7" ht="11.25" customHeight="1">
      <c r="A6" t="s">
        <v>16</v>
      </c>
      <c r="B6" t="s">
        <v>3879</v>
      </c>
      <c r="C6" t="s">
        <v>3880</v>
      </c>
      <c r="D6" t="s">
        <v>3879</v>
      </c>
      <c r="E6" t="s">
        <v>3880</v>
      </c>
      <c r="F6" t="s">
        <v>3886</v>
      </c>
      <c r="G6" t="s">
        <v>123</v>
      </c>
    </row>
    <row r="7" spans="1:7" ht="11.25" customHeight="1">
      <c r="A7" t="s">
        <v>16</v>
      </c>
      <c r="B7" t="s">
        <v>3879</v>
      </c>
      <c r="C7" t="s">
        <v>3880</v>
      </c>
      <c r="D7" t="s">
        <v>3887</v>
      </c>
      <c r="E7" t="s">
        <v>3888</v>
      </c>
      <c r="F7" t="s">
        <v>3889</v>
      </c>
      <c r="G7" t="s">
        <v>93</v>
      </c>
    </row>
    <row r="8" spans="1:7" ht="11.25" customHeight="1">
      <c r="A8" t="s">
        <v>16</v>
      </c>
      <c r="B8" t="s">
        <v>3879</v>
      </c>
      <c r="C8" t="s">
        <v>3880</v>
      </c>
      <c r="D8" t="s">
        <v>3890</v>
      </c>
      <c r="E8" t="s">
        <v>3891</v>
      </c>
      <c r="F8" t="s">
        <v>3883</v>
      </c>
      <c r="G8" t="s">
        <v>94</v>
      </c>
    </row>
    <row r="9" spans="1:7" ht="11.25" customHeight="1">
      <c r="A9" t="s">
        <v>16</v>
      </c>
      <c r="B9" t="s">
        <v>3879</v>
      </c>
      <c r="C9" t="s">
        <v>3880</v>
      </c>
      <c r="D9" t="s">
        <v>3892</v>
      </c>
      <c r="E9" t="s">
        <v>3893</v>
      </c>
      <c r="F9" t="s">
        <v>3883</v>
      </c>
      <c r="G9" t="s">
        <v>124</v>
      </c>
    </row>
    <row r="10" spans="1:7" ht="11.25" customHeight="1">
      <c r="A10" t="s">
        <v>16</v>
      </c>
      <c r="B10" t="s">
        <v>3879</v>
      </c>
      <c r="C10" t="s">
        <v>3880</v>
      </c>
      <c r="D10" t="s">
        <v>3894</v>
      </c>
      <c r="E10" t="s">
        <v>3895</v>
      </c>
      <c r="F10" t="s">
        <v>3896</v>
      </c>
      <c r="G10" t="s">
        <v>169</v>
      </c>
    </row>
    <row r="11" spans="1:7" ht="11.25" customHeight="1">
      <c r="A11" t="s">
        <v>16</v>
      </c>
      <c r="B11" t="s">
        <v>3879</v>
      </c>
      <c r="C11" t="s">
        <v>3880</v>
      </c>
      <c r="D11" t="s">
        <v>3897</v>
      </c>
      <c r="E11" t="s">
        <v>3898</v>
      </c>
      <c r="F11" t="s">
        <v>3883</v>
      </c>
      <c r="G11" t="s">
        <v>170</v>
      </c>
    </row>
    <row r="12" spans="1:7" ht="11.25" customHeight="1">
      <c r="A12" t="s">
        <v>16</v>
      </c>
      <c r="B12" t="s">
        <v>3879</v>
      </c>
      <c r="C12" t="s">
        <v>3880</v>
      </c>
      <c r="D12" t="s">
        <v>3899</v>
      </c>
      <c r="E12" t="s">
        <v>3900</v>
      </c>
      <c r="F12" t="s">
        <v>3883</v>
      </c>
      <c r="G12" t="s">
        <v>171</v>
      </c>
    </row>
    <row r="13" spans="1:7" ht="11.25" customHeight="1">
      <c r="A13" t="s">
        <v>16</v>
      </c>
      <c r="B13" t="s">
        <v>3879</v>
      </c>
      <c r="C13" t="s">
        <v>3880</v>
      </c>
      <c r="D13" t="s">
        <v>3901</v>
      </c>
      <c r="E13" t="s">
        <v>3902</v>
      </c>
      <c r="F13" t="s">
        <v>3883</v>
      </c>
      <c r="G13" t="s">
        <v>172</v>
      </c>
    </row>
    <row r="14" spans="1:7" ht="11.25" customHeight="1">
      <c r="A14" t="s">
        <v>16</v>
      </c>
      <c r="B14" t="s">
        <v>3879</v>
      </c>
      <c r="C14" t="s">
        <v>3880</v>
      </c>
      <c r="D14" t="s">
        <v>3903</v>
      </c>
      <c r="E14" t="s">
        <v>3904</v>
      </c>
      <c r="F14" t="s">
        <v>3883</v>
      </c>
      <c r="G14" t="s">
        <v>173</v>
      </c>
    </row>
    <row r="15" spans="1:7" ht="11.25" customHeight="1">
      <c r="A15" t="s">
        <v>16</v>
      </c>
      <c r="B15" t="s">
        <v>3879</v>
      </c>
      <c r="C15" t="s">
        <v>3880</v>
      </c>
      <c r="D15" t="s">
        <v>3905</v>
      </c>
      <c r="E15" t="s">
        <v>3906</v>
      </c>
      <c r="F15" t="s">
        <v>3883</v>
      </c>
      <c r="G15" t="s">
        <v>174</v>
      </c>
    </row>
    <row r="16" spans="1:7" ht="11.25" customHeight="1">
      <c r="A16" t="s">
        <v>16</v>
      </c>
      <c r="B16" t="s">
        <v>3879</v>
      </c>
      <c r="C16" t="s">
        <v>3880</v>
      </c>
      <c r="D16" t="s">
        <v>3907</v>
      </c>
      <c r="E16" t="s">
        <v>3908</v>
      </c>
      <c r="F16" t="s">
        <v>3883</v>
      </c>
      <c r="G16" t="s">
        <v>1655</v>
      </c>
    </row>
    <row r="17" spans="1:7" ht="11.25" customHeight="1">
      <c r="A17" t="s">
        <v>16</v>
      </c>
      <c r="B17" t="s">
        <v>3879</v>
      </c>
      <c r="C17" t="s">
        <v>3880</v>
      </c>
      <c r="D17" t="s">
        <v>3909</v>
      </c>
      <c r="E17" t="s">
        <v>3910</v>
      </c>
      <c r="F17" t="s">
        <v>3883</v>
      </c>
      <c r="G17" t="s">
        <v>1661</v>
      </c>
    </row>
    <row r="18" spans="1:7" ht="11.25" customHeight="1">
      <c r="A18" t="s">
        <v>16</v>
      </c>
      <c r="B18" t="s">
        <v>3879</v>
      </c>
      <c r="C18" t="s">
        <v>3880</v>
      </c>
      <c r="D18" t="s">
        <v>3911</v>
      </c>
      <c r="E18" t="s">
        <v>3912</v>
      </c>
      <c r="F18" t="s">
        <v>3883</v>
      </c>
      <c r="G18" t="s">
        <v>1673</v>
      </c>
    </row>
    <row r="19" spans="1:7" ht="11.25" customHeight="1">
      <c r="A19" t="s">
        <v>16</v>
      </c>
      <c r="B19" t="s">
        <v>3879</v>
      </c>
      <c r="C19" t="s">
        <v>3880</v>
      </c>
      <c r="D19" t="s">
        <v>3913</v>
      </c>
      <c r="E19" t="s">
        <v>3914</v>
      </c>
      <c r="F19" t="s">
        <v>3883</v>
      </c>
      <c r="G19" t="s">
        <v>1687</v>
      </c>
    </row>
    <row r="20" spans="1:7" ht="11.25" customHeight="1">
      <c r="A20" t="s">
        <v>16</v>
      </c>
      <c r="B20" t="s">
        <v>3879</v>
      </c>
      <c r="C20" t="s">
        <v>3880</v>
      </c>
      <c r="D20" t="s">
        <v>3915</v>
      </c>
      <c r="E20" t="s">
        <v>3916</v>
      </c>
      <c r="F20" t="s">
        <v>3883</v>
      </c>
      <c r="G20" t="s">
        <v>1699</v>
      </c>
    </row>
    <row r="21" spans="1:7" ht="11.25" customHeight="1">
      <c r="A21" t="s">
        <v>16</v>
      </c>
      <c r="B21" t="s">
        <v>3879</v>
      </c>
      <c r="C21" t="s">
        <v>3880</v>
      </c>
      <c r="D21" t="s">
        <v>3917</v>
      </c>
      <c r="E21" t="s">
        <v>3918</v>
      </c>
      <c r="F21" t="s">
        <v>3883</v>
      </c>
      <c r="G21" t="s">
        <v>1708</v>
      </c>
    </row>
    <row r="22" spans="1:7" ht="11.25" customHeight="1">
      <c r="A22" t="s">
        <v>16</v>
      </c>
      <c r="B22" t="s">
        <v>3879</v>
      </c>
      <c r="C22" t="s">
        <v>3880</v>
      </c>
      <c r="D22" t="s">
        <v>3919</v>
      </c>
      <c r="E22" t="s">
        <v>3920</v>
      </c>
      <c r="F22" t="s">
        <v>3883</v>
      </c>
      <c r="G22" t="s">
        <v>1724</v>
      </c>
    </row>
    <row r="23" spans="1:7" ht="11.25" customHeight="1">
      <c r="A23" t="s">
        <v>16</v>
      </c>
      <c r="B23" t="s">
        <v>3879</v>
      </c>
      <c r="C23" t="s">
        <v>3880</v>
      </c>
      <c r="D23" t="s">
        <v>3921</v>
      </c>
      <c r="E23" t="s">
        <v>3922</v>
      </c>
      <c r="F23" t="s">
        <v>3883</v>
      </c>
      <c r="G23" t="s">
        <v>1731</v>
      </c>
    </row>
    <row r="24" spans="1:7" ht="11.25" customHeight="1">
      <c r="A24" t="s">
        <v>16</v>
      </c>
      <c r="B24" t="s">
        <v>3879</v>
      </c>
      <c r="C24" t="s">
        <v>3880</v>
      </c>
      <c r="D24" t="s">
        <v>3923</v>
      </c>
      <c r="E24" t="s">
        <v>3924</v>
      </c>
      <c r="F24" t="s">
        <v>3883</v>
      </c>
      <c r="G24" t="s">
        <v>1739</v>
      </c>
    </row>
    <row r="25" spans="1:7" ht="11.25" customHeight="1">
      <c r="A25" t="s">
        <v>16</v>
      </c>
      <c r="B25" t="s">
        <v>3879</v>
      </c>
      <c r="C25" t="s">
        <v>3880</v>
      </c>
      <c r="D25" t="s">
        <v>3925</v>
      </c>
      <c r="E25" t="s">
        <v>3926</v>
      </c>
      <c r="F25" t="s">
        <v>3883</v>
      </c>
      <c r="G25" t="s">
        <v>1745</v>
      </c>
    </row>
    <row r="26" spans="1:7" ht="11.25" customHeight="1">
      <c r="A26" t="s">
        <v>16</v>
      </c>
      <c r="B26" t="s">
        <v>3927</v>
      </c>
      <c r="C26" t="s">
        <v>3928</v>
      </c>
      <c r="D26" t="s">
        <v>3927</v>
      </c>
      <c r="E26" t="s">
        <v>3928</v>
      </c>
      <c r="F26" t="s">
        <v>3878</v>
      </c>
      <c r="G26" t="s">
        <v>1749</v>
      </c>
    </row>
    <row r="27" spans="1:7" ht="11.25" customHeight="1">
      <c r="A27" t="s">
        <v>16</v>
      </c>
      <c r="B27" t="s">
        <v>3929</v>
      </c>
      <c r="C27" t="s">
        <v>3930</v>
      </c>
      <c r="D27" t="s">
        <v>3929</v>
      </c>
      <c r="E27" t="s">
        <v>3930</v>
      </c>
      <c r="F27" t="s">
        <v>3878</v>
      </c>
      <c r="G27" t="s">
        <v>1754</v>
      </c>
    </row>
    <row r="28" spans="1:7" ht="11.25" customHeight="1">
      <c r="A28" t="s">
        <v>16</v>
      </c>
      <c r="B28" t="s">
        <v>3931</v>
      </c>
      <c r="C28" t="s">
        <v>3932</v>
      </c>
      <c r="D28" t="s">
        <v>3931</v>
      </c>
      <c r="E28" t="s">
        <v>3932</v>
      </c>
      <c r="F28" t="s">
        <v>3878</v>
      </c>
      <c r="G28" t="s">
        <v>1762</v>
      </c>
    </row>
    <row r="29" spans="1:7" ht="11.25" customHeight="1">
      <c r="A29" t="s">
        <v>16</v>
      </c>
      <c r="B29" t="s">
        <v>3933</v>
      </c>
      <c r="C29" t="s">
        <v>3934</v>
      </c>
      <c r="D29" t="s">
        <v>3933</v>
      </c>
      <c r="E29" t="s">
        <v>3934</v>
      </c>
      <c r="F29" t="s">
        <v>3875</v>
      </c>
      <c r="G29" t="s">
        <v>1764</v>
      </c>
    </row>
    <row r="30" spans="1:7" ht="11.25" customHeight="1">
      <c r="A30" t="s">
        <v>16</v>
      </c>
      <c r="B30" t="s">
        <v>3935</v>
      </c>
      <c r="C30" t="s">
        <v>3936</v>
      </c>
      <c r="D30" t="s">
        <v>3935</v>
      </c>
      <c r="E30" t="s">
        <v>3936</v>
      </c>
      <c r="F30" t="s">
        <v>3878</v>
      </c>
      <c r="G30" t="s">
        <v>1767</v>
      </c>
    </row>
    <row r="31" spans="1:7" ht="11.25" customHeight="1">
      <c r="A31" t="s">
        <v>16</v>
      </c>
      <c r="B31" t="s">
        <v>3937</v>
      </c>
      <c r="C31" t="s">
        <v>3938</v>
      </c>
      <c r="D31" t="s">
        <v>3939</v>
      </c>
      <c r="E31" t="s">
        <v>3940</v>
      </c>
      <c r="F31" t="s">
        <v>3883</v>
      </c>
      <c r="G31" t="s">
        <v>1773</v>
      </c>
    </row>
    <row r="32" spans="1:7" ht="11.25" customHeight="1">
      <c r="A32" t="s">
        <v>16</v>
      </c>
      <c r="B32" t="s">
        <v>3937</v>
      </c>
      <c r="C32" t="s">
        <v>3938</v>
      </c>
      <c r="D32" t="s">
        <v>3941</v>
      </c>
      <c r="E32" t="s">
        <v>3942</v>
      </c>
      <c r="F32" t="s">
        <v>3883</v>
      </c>
      <c r="G32" t="s">
        <v>1775</v>
      </c>
    </row>
    <row r="33" spans="1:7" ht="11.25" customHeight="1">
      <c r="A33" t="s">
        <v>16</v>
      </c>
      <c r="B33" t="s">
        <v>3937</v>
      </c>
      <c r="C33" t="s">
        <v>3938</v>
      </c>
      <c r="D33" t="s">
        <v>3943</v>
      </c>
      <c r="E33" t="s">
        <v>3944</v>
      </c>
      <c r="F33" t="s">
        <v>3883</v>
      </c>
      <c r="G33" t="s">
        <v>1777</v>
      </c>
    </row>
    <row r="34" spans="1:7" ht="11.25" customHeight="1">
      <c r="A34" t="s">
        <v>16</v>
      </c>
      <c r="B34" t="s">
        <v>3937</v>
      </c>
      <c r="C34" t="s">
        <v>3938</v>
      </c>
      <c r="D34" t="s">
        <v>3945</v>
      </c>
      <c r="E34" t="s">
        <v>3946</v>
      </c>
      <c r="F34" t="s">
        <v>3883</v>
      </c>
      <c r="G34" t="s">
        <v>1779</v>
      </c>
    </row>
    <row r="35" spans="1:7" ht="11.25" customHeight="1">
      <c r="A35" t="s">
        <v>16</v>
      </c>
      <c r="B35" t="s">
        <v>3937</v>
      </c>
      <c r="C35" t="s">
        <v>3938</v>
      </c>
      <c r="D35" t="s">
        <v>3937</v>
      </c>
      <c r="E35" t="s">
        <v>3938</v>
      </c>
      <c r="F35" t="s">
        <v>3886</v>
      </c>
      <c r="G35" t="s">
        <v>1784</v>
      </c>
    </row>
    <row r="36" spans="1:7" ht="11.25" customHeight="1">
      <c r="A36" t="s">
        <v>16</v>
      </c>
      <c r="B36" t="s">
        <v>3937</v>
      </c>
      <c r="C36" t="s">
        <v>3938</v>
      </c>
      <c r="D36" t="s">
        <v>3947</v>
      </c>
      <c r="E36" t="s">
        <v>3948</v>
      </c>
      <c r="F36" t="s">
        <v>3896</v>
      </c>
      <c r="G36" t="s">
        <v>1789</v>
      </c>
    </row>
    <row r="37" spans="1:7" ht="11.25" customHeight="1">
      <c r="A37" t="s">
        <v>16</v>
      </c>
      <c r="B37" t="s">
        <v>3937</v>
      </c>
      <c r="C37" t="s">
        <v>3938</v>
      </c>
      <c r="D37" t="s">
        <v>3949</v>
      </c>
      <c r="E37" t="s">
        <v>3950</v>
      </c>
      <c r="F37" t="s">
        <v>3883</v>
      </c>
      <c r="G37" t="s">
        <v>1793</v>
      </c>
    </row>
    <row r="38" spans="1:7" ht="11.25" customHeight="1">
      <c r="A38" t="s">
        <v>16</v>
      </c>
      <c r="B38" t="s">
        <v>3937</v>
      </c>
      <c r="C38" t="s">
        <v>3938</v>
      </c>
      <c r="D38" t="s">
        <v>3951</v>
      </c>
      <c r="E38" t="s">
        <v>3952</v>
      </c>
      <c r="F38" t="s">
        <v>3883</v>
      </c>
      <c r="G38" t="s">
        <v>1801</v>
      </c>
    </row>
    <row r="39" spans="1:7" ht="11.25" customHeight="1">
      <c r="A39" t="s">
        <v>16</v>
      </c>
      <c r="B39" t="s">
        <v>3937</v>
      </c>
      <c r="C39" t="s">
        <v>3938</v>
      </c>
      <c r="D39" t="s">
        <v>3953</v>
      </c>
      <c r="E39" t="s">
        <v>3954</v>
      </c>
      <c r="F39" t="s">
        <v>3883</v>
      </c>
      <c r="G39" t="s">
        <v>1807</v>
      </c>
    </row>
    <row r="40" spans="1:7" ht="11.25" customHeight="1">
      <c r="A40" t="s">
        <v>16</v>
      </c>
      <c r="B40" t="s">
        <v>3955</v>
      </c>
      <c r="C40" t="s">
        <v>3956</v>
      </c>
      <c r="D40" t="s">
        <v>3955</v>
      </c>
      <c r="E40" t="s">
        <v>3956</v>
      </c>
      <c r="F40" t="s">
        <v>3875</v>
      </c>
      <c r="G40" t="s">
        <v>1812</v>
      </c>
    </row>
    <row r="41" spans="1:7" ht="11.25" customHeight="1">
      <c r="A41" t="s">
        <v>16</v>
      </c>
      <c r="B41" t="s">
        <v>3957</v>
      </c>
      <c r="C41" t="s">
        <v>3958</v>
      </c>
      <c r="D41" t="s">
        <v>3957</v>
      </c>
      <c r="E41" t="s">
        <v>3958</v>
      </c>
      <c r="F41" t="s">
        <v>3875</v>
      </c>
      <c r="G41" t="s">
        <v>1816</v>
      </c>
    </row>
    <row r="42" spans="1:7" ht="11.25" customHeight="1">
      <c r="A42" t="s">
        <v>16</v>
      </c>
      <c r="B42" t="s">
        <v>3959</v>
      </c>
      <c r="C42" t="s">
        <v>3960</v>
      </c>
      <c r="D42" t="s">
        <v>3959</v>
      </c>
      <c r="E42" t="s">
        <v>3960</v>
      </c>
      <c r="F42" t="s">
        <v>3878</v>
      </c>
      <c r="G42" t="s">
        <v>1819</v>
      </c>
    </row>
    <row r="43" spans="1:7" ht="11.25" customHeight="1">
      <c r="A43" t="s">
        <v>16</v>
      </c>
      <c r="B43" t="s">
        <v>3961</v>
      </c>
      <c r="C43" t="s">
        <v>3962</v>
      </c>
      <c r="D43" t="s">
        <v>3961</v>
      </c>
      <c r="E43" t="s">
        <v>3962</v>
      </c>
      <c r="F43" t="s">
        <v>3878</v>
      </c>
      <c r="G43" t="s">
        <v>1826</v>
      </c>
    </row>
    <row r="44" spans="1:7" ht="11.25" customHeight="1">
      <c r="A44" t="s">
        <v>16</v>
      </c>
      <c r="B44" t="s">
        <v>3963</v>
      </c>
      <c r="C44" t="s">
        <v>3964</v>
      </c>
      <c r="D44" t="s">
        <v>3965</v>
      </c>
      <c r="E44" t="s">
        <v>3966</v>
      </c>
      <c r="F44" t="s">
        <v>3883</v>
      </c>
      <c r="G44" t="s">
        <v>1835</v>
      </c>
    </row>
    <row r="45" spans="1:7" ht="11.25" customHeight="1">
      <c r="A45" t="s">
        <v>16</v>
      </c>
      <c r="B45" t="s">
        <v>3963</v>
      </c>
      <c r="C45" t="s">
        <v>3964</v>
      </c>
      <c r="D45" t="s">
        <v>3967</v>
      </c>
      <c r="E45" t="s">
        <v>3968</v>
      </c>
      <c r="F45" t="s">
        <v>3883</v>
      </c>
      <c r="G45" t="s">
        <v>1840</v>
      </c>
    </row>
    <row r="46" spans="1:7" ht="11.25" customHeight="1">
      <c r="A46" t="s">
        <v>16</v>
      </c>
      <c r="B46" t="s">
        <v>3963</v>
      </c>
      <c r="C46" t="s">
        <v>3964</v>
      </c>
      <c r="D46" t="s">
        <v>3969</v>
      </c>
      <c r="E46" t="s">
        <v>3970</v>
      </c>
      <c r="F46" t="s">
        <v>3883</v>
      </c>
      <c r="G46" t="s">
        <v>1844</v>
      </c>
    </row>
    <row r="47" spans="1:7" ht="11.25" customHeight="1">
      <c r="A47" t="s">
        <v>16</v>
      </c>
      <c r="B47" t="s">
        <v>3963</v>
      </c>
      <c r="C47" t="s">
        <v>3964</v>
      </c>
      <c r="D47" t="s">
        <v>3963</v>
      </c>
      <c r="E47" t="s">
        <v>3964</v>
      </c>
      <c r="F47" t="s">
        <v>3886</v>
      </c>
      <c r="G47" t="s">
        <v>1849</v>
      </c>
    </row>
    <row r="48" spans="1:7" ht="11.25" customHeight="1">
      <c r="A48" t="s">
        <v>16</v>
      </c>
      <c r="B48" t="s">
        <v>3963</v>
      </c>
      <c r="C48" t="s">
        <v>3964</v>
      </c>
      <c r="D48" t="s">
        <v>3971</v>
      </c>
      <c r="E48" t="s">
        <v>3972</v>
      </c>
      <c r="F48" t="s">
        <v>3883</v>
      </c>
      <c r="G48" t="s">
        <v>1854</v>
      </c>
    </row>
    <row r="49" spans="1:7" ht="11.25" customHeight="1">
      <c r="A49" t="s">
        <v>16</v>
      </c>
      <c r="B49" t="s">
        <v>3963</v>
      </c>
      <c r="C49" t="s">
        <v>3964</v>
      </c>
      <c r="D49" t="s">
        <v>3973</v>
      </c>
      <c r="E49" t="s">
        <v>3974</v>
      </c>
      <c r="F49" t="s">
        <v>3883</v>
      </c>
      <c r="G49" t="s">
        <v>1857</v>
      </c>
    </row>
    <row r="50" spans="1:7" ht="11.25" customHeight="1">
      <c r="A50" t="s">
        <v>16</v>
      </c>
      <c r="B50" t="s">
        <v>3963</v>
      </c>
      <c r="C50" t="s">
        <v>3964</v>
      </c>
      <c r="D50" t="s">
        <v>3975</v>
      </c>
      <c r="E50" t="s">
        <v>3976</v>
      </c>
      <c r="F50" t="s">
        <v>3883</v>
      </c>
      <c r="G50" t="s">
        <v>1861</v>
      </c>
    </row>
    <row r="51" spans="1:7" ht="11.25" customHeight="1">
      <c r="A51" t="s">
        <v>16</v>
      </c>
      <c r="B51" t="s">
        <v>3963</v>
      </c>
      <c r="C51" t="s">
        <v>3964</v>
      </c>
      <c r="D51" t="s">
        <v>3977</v>
      </c>
      <c r="E51" t="s">
        <v>3978</v>
      </c>
      <c r="F51" t="s">
        <v>3883</v>
      </c>
      <c r="G51" t="s">
        <v>1866</v>
      </c>
    </row>
    <row r="52" spans="1:7" ht="11.25" customHeight="1">
      <c r="A52" t="s">
        <v>16</v>
      </c>
      <c r="B52" t="s">
        <v>3979</v>
      </c>
      <c r="C52" t="s">
        <v>3980</v>
      </c>
      <c r="D52" t="s">
        <v>3981</v>
      </c>
      <c r="E52" t="s">
        <v>3982</v>
      </c>
      <c r="F52" t="s">
        <v>3883</v>
      </c>
      <c r="G52" t="s">
        <v>1870</v>
      </c>
    </row>
    <row r="53" spans="1:7" ht="11.25" customHeight="1">
      <c r="A53" t="s">
        <v>16</v>
      </c>
      <c r="B53" t="s">
        <v>3979</v>
      </c>
      <c r="C53" t="s">
        <v>3980</v>
      </c>
      <c r="D53" t="s">
        <v>3979</v>
      </c>
      <c r="E53" t="s">
        <v>3980</v>
      </c>
      <c r="F53" t="s">
        <v>3886</v>
      </c>
      <c r="G53" t="s">
        <v>1872</v>
      </c>
    </row>
    <row r="54" spans="1:7" ht="11.25" customHeight="1">
      <c r="A54" t="s">
        <v>16</v>
      </c>
      <c r="B54" t="s">
        <v>3979</v>
      </c>
      <c r="C54" t="s">
        <v>3980</v>
      </c>
      <c r="D54" t="s">
        <v>3983</v>
      </c>
      <c r="E54" t="s">
        <v>3984</v>
      </c>
      <c r="F54" t="s">
        <v>3883</v>
      </c>
      <c r="G54" t="s">
        <v>1875</v>
      </c>
    </row>
    <row r="55" spans="1:7" ht="11.25" customHeight="1">
      <c r="A55" t="s">
        <v>16</v>
      </c>
      <c r="B55" t="s">
        <v>3979</v>
      </c>
      <c r="C55" t="s">
        <v>3980</v>
      </c>
      <c r="D55" t="s">
        <v>3985</v>
      </c>
      <c r="E55" t="s">
        <v>3986</v>
      </c>
      <c r="F55" t="s">
        <v>3883</v>
      </c>
      <c r="G55" t="s">
        <v>1879</v>
      </c>
    </row>
    <row r="56" spans="1:7" ht="11.25" customHeight="1">
      <c r="A56" t="s">
        <v>16</v>
      </c>
      <c r="B56" t="s">
        <v>3979</v>
      </c>
      <c r="C56" t="s">
        <v>3980</v>
      </c>
      <c r="D56" t="s">
        <v>3987</v>
      </c>
      <c r="E56" t="s">
        <v>3988</v>
      </c>
      <c r="F56" t="s">
        <v>3896</v>
      </c>
      <c r="G56" t="s">
        <v>1883</v>
      </c>
    </row>
    <row r="57" spans="1:7" ht="11.25" customHeight="1">
      <c r="A57" t="s">
        <v>16</v>
      </c>
      <c r="B57" t="s">
        <v>3989</v>
      </c>
      <c r="C57" t="s">
        <v>3990</v>
      </c>
      <c r="D57" t="s">
        <v>3989</v>
      </c>
      <c r="E57" t="s">
        <v>3990</v>
      </c>
      <c r="F57" t="s">
        <v>3878</v>
      </c>
      <c r="G57" t="s">
        <v>1886</v>
      </c>
    </row>
    <row r="58" spans="1:7" ht="11.25" customHeight="1">
      <c r="A58" t="s">
        <v>16</v>
      </c>
      <c r="B58" t="s">
        <v>3991</v>
      </c>
      <c r="C58" t="s">
        <v>3992</v>
      </c>
      <c r="D58" t="s">
        <v>3991</v>
      </c>
      <c r="E58" t="s">
        <v>3992</v>
      </c>
      <c r="F58" t="s">
        <v>3878</v>
      </c>
      <c r="G58" t="s">
        <v>1889</v>
      </c>
    </row>
    <row r="59" spans="1:7" ht="11.25" customHeight="1">
      <c r="A59" t="s">
        <v>16</v>
      </c>
      <c r="B59" t="s">
        <v>115</v>
      </c>
      <c r="C59" t="s">
        <v>116</v>
      </c>
      <c r="D59" t="s">
        <v>115</v>
      </c>
      <c r="E59" t="s">
        <v>116</v>
      </c>
      <c r="F59" t="s">
        <v>3878</v>
      </c>
      <c r="G59" t="s">
        <v>114</v>
      </c>
    </row>
    <row r="60" spans="1:7" ht="11.25" customHeight="1">
      <c r="A60" t="s">
        <v>16</v>
      </c>
      <c r="B60" t="s">
        <v>3993</v>
      </c>
      <c r="C60" t="s">
        <v>3994</v>
      </c>
      <c r="D60" t="s">
        <v>3993</v>
      </c>
      <c r="E60" t="s">
        <v>3994</v>
      </c>
      <c r="F60" t="s">
        <v>3875</v>
      </c>
      <c r="G60" t="s">
        <v>1895</v>
      </c>
    </row>
    <row r="61" spans="1:7" ht="11.25" customHeight="1">
      <c r="A61" t="s">
        <v>16</v>
      </c>
      <c r="B61" t="s">
        <v>3995</v>
      </c>
      <c r="C61" t="s">
        <v>3996</v>
      </c>
      <c r="D61" t="s">
        <v>3995</v>
      </c>
      <c r="E61" t="s">
        <v>3996</v>
      </c>
      <c r="F61" t="s">
        <v>3875</v>
      </c>
      <c r="G61" t="s">
        <v>3997</v>
      </c>
    </row>
    <row r="62" spans="1:7" ht="11.25" customHeight="1">
      <c r="A62" t="s">
        <v>16</v>
      </c>
      <c r="B62" t="s">
        <v>3998</v>
      </c>
      <c r="C62" t="s">
        <v>3999</v>
      </c>
      <c r="D62" t="s">
        <v>3998</v>
      </c>
      <c r="E62" t="s">
        <v>3999</v>
      </c>
      <c r="F62" t="s">
        <v>3878</v>
      </c>
      <c r="G62" t="s">
        <v>4000</v>
      </c>
    </row>
    <row r="63" spans="1:7" ht="11.25" customHeight="1">
      <c r="A63" t="s">
        <v>16</v>
      </c>
      <c r="B63" t="s">
        <v>4001</v>
      </c>
      <c r="C63" t="s">
        <v>4002</v>
      </c>
      <c r="D63" t="s">
        <v>4001</v>
      </c>
      <c r="E63" t="s">
        <v>4002</v>
      </c>
      <c r="F63" t="s">
        <v>3878</v>
      </c>
      <c r="G63" t="s">
        <v>4003</v>
      </c>
    </row>
    <row r="64" spans="1:7" ht="11.25" customHeight="1">
      <c r="A64" t="s">
        <v>16</v>
      </c>
      <c r="B64" t="s">
        <v>4004</v>
      </c>
      <c r="C64" t="s">
        <v>4005</v>
      </c>
      <c r="D64" t="s">
        <v>4006</v>
      </c>
      <c r="E64" t="s">
        <v>4007</v>
      </c>
      <c r="F64" t="s">
        <v>3883</v>
      </c>
      <c r="G64" t="s">
        <v>4008</v>
      </c>
    </row>
    <row r="65" spans="1:7" ht="11.25" customHeight="1">
      <c r="A65" t="s">
        <v>16</v>
      </c>
      <c r="B65" t="s">
        <v>4004</v>
      </c>
      <c r="C65" t="s">
        <v>4005</v>
      </c>
      <c r="D65" t="s">
        <v>4009</v>
      </c>
      <c r="E65" t="s">
        <v>4010</v>
      </c>
      <c r="F65" t="s">
        <v>3883</v>
      </c>
      <c r="G65" t="s">
        <v>4011</v>
      </c>
    </row>
    <row r="66" spans="1:7" ht="11.25" customHeight="1">
      <c r="A66" t="s">
        <v>16</v>
      </c>
      <c r="B66" t="s">
        <v>4004</v>
      </c>
      <c r="C66" t="s">
        <v>4005</v>
      </c>
      <c r="D66" t="s">
        <v>4012</v>
      </c>
      <c r="E66" t="s">
        <v>4013</v>
      </c>
      <c r="F66" t="s">
        <v>3896</v>
      </c>
      <c r="G66" t="s">
        <v>4014</v>
      </c>
    </row>
    <row r="67" spans="1:7" ht="11.25" customHeight="1">
      <c r="A67" t="s">
        <v>16</v>
      </c>
      <c r="B67" t="s">
        <v>4004</v>
      </c>
      <c r="C67" t="s">
        <v>4005</v>
      </c>
      <c r="D67" t="s">
        <v>4015</v>
      </c>
      <c r="E67" t="s">
        <v>4016</v>
      </c>
      <c r="F67" t="s">
        <v>4017</v>
      </c>
      <c r="G67" t="s">
        <v>2193</v>
      </c>
    </row>
    <row r="68" spans="1:7" ht="11.25" customHeight="1">
      <c r="A68" t="s">
        <v>16</v>
      </c>
      <c r="B68" t="s">
        <v>4004</v>
      </c>
      <c r="C68" t="s">
        <v>4005</v>
      </c>
      <c r="D68" t="s">
        <v>4018</v>
      </c>
      <c r="E68" t="s">
        <v>4019</v>
      </c>
      <c r="F68" t="s">
        <v>3883</v>
      </c>
      <c r="G68" t="s">
        <v>4020</v>
      </c>
    </row>
    <row r="69" spans="1:7" ht="11.25" customHeight="1">
      <c r="A69" t="s">
        <v>16</v>
      </c>
      <c r="B69" t="s">
        <v>4004</v>
      </c>
      <c r="C69" t="s">
        <v>4005</v>
      </c>
      <c r="D69" t="s">
        <v>4004</v>
      </c>
      <c r="E69" t="s">
        <v>4005</v>
      </c>
      <c r="F69" t="s">
        <v>3886</v>
      </c>
      <c r="G69" t="s">
        <v>2393</v>
      </c>
    </row>
    <row r="70" spans="1:7" ht="11.25" customHeight="1">
      <c r="A70" t="s">
        <v>16</v>
      </c>
      <c r="B70" t="s">
        <v>4004</v>
      </c>
      <c r="C70" t="s">
        <v>4005</v>
      </c>
      <c r="D70" t="s">
        <v>4021</v>
      </c>
      <c r="E70" t="s">
        <v>4022</v>
      </c>
      <c r="F70" t="s">
        <v>3889</v>
      </c>
      <c r="G70" t="s">
        <v>4023</v>
      </c>
    </row>
    <row r="71" spans="1:7" ht="11.25" customHeight="1">
      <c r="A71" t="s">
        <v>16</v>
      </c>
      <c r="B71" t="s">
        <v>4004</v>
      </c>
      <c r="C71" t="s">
        <v>4005</v>
      </c>
      <c r="D71" t="s">
        <v>4024</v>
      </c>
      <c r="E71" t="s">
        <v>4025</v>
      </c>
      <c r="F71" t="s">
        <v>3883</v>
      </c>
      <c r="G71" t="s">
        <v>4026</v>
      </c>
    </row>
    <row r="72" spans="1:7" ht="11.25" customHeight="1">
      <c r="A72" t="s">
        <v>16</v>
      </c>
      <c r="B72" t="s">
        <v>4004</v>
      </c>
      <c r="C72" t="s">
        <v>4005</v>
      </c>
      <c r="D72" t="s">
        <v>4027</v>
      </c>
      <c r="E72" t="s">
        <v>4028</v>
      </c>
      <c r="F72" t="s">
        <v>3883</v>
      </c>
      <c r="G72" t="s">
        <v>4029</v>
      </c>
    </row>
    <row r="73" spans="1:7" ht="11.25" customHeight="1">
      <c r="A73" t="s">
        <v>16</v>
      </c>
      <c r="B73" t="s">
        <v>4004</v>
      </c>
      <c r="C73" t="s">
        <v>4005</v>
      </c>
      <c r="D73" t="s">
        <v>4030</v>
      </c>
      <c r="E73" t="s">
        <v>4031</v>
      </c>
      <c r="F73" t="s">
        <v>3883</v>
      </c>
      <c r="G73" t="s">
        <v>4032</v>
      </c>
    </row>
    <row r="74" spans="1:7" ht="11.25" customHeight="1">
      <c r="A74" t="s">
        <v>16</v>
      </c>
      <c r="B74" t="s">
        <v>4033</v>
      </c>
      <c r="C74" t="s">
        <v>4034</v>
      </c>
      <c r="D74" t="s">
        <v>4033</v>
      </c>
      <c r="E74" t="s">
        <v>4034</v>
      </c>
      <c r="F74" t="s">
        <v>3878</v>
      </c>
      <c r="G74" t="s">
        <v>4035</v>
      </c>
    </row>
    <row r="75" spans="1:7" ht="11.25" customHeight="1">
      <c r="A75" t="s">
        <v>16</v>
      </c>
      <c r="B75" t="s">
        <v>4036</v>
      </c>
      <c r="C75" t="s">
        <v>4037</v>
      </c>
      <c r="D75" t="s">
        <v>4038</v>
      </c>
      <c r="E75" t="s">
        <v>4039</v>
      </c>
      <c r="F75" t="s">
        <v>3883</v>
      </c>
      <c r="G75" t="s">
        <v>4040</v>
      </c>
    </row>
    <row r="76" spans="1:7" ht="11.25" customHeight="1">
      <c r="A76" t="s">
        <v>16</v>
      </c>
      <c r="B76" t="s">
        <v>4036</v>
      </c>
      <c r="C76" t="s">
        <v>4037</v>
      </c>
      <c r="D76" t="s">
        <v>4041</v>
      </c>
      <c r="E76" t="s">
        <v>4042</v>
      </c>
      <c r="F76" t="s">
        <v>3883</v>
      </c>
      <c r="G76" t="s">
        <v>4043</v>
      </c>
    </row>
    <row r="77" spans="1:7" ht="11.25" customHeight="1">
      <c r="A77" t="s">
        <v>16</v>
      </c>
      <c r="B77" t="s">
        <v>4036</v>
      </c>
      <c r="C77" t="s">
        <v>4037</v>
      </c>
      <c r="D77" t="s">
        <v>4044</v>
      </c>
      <c r="E77" t="s">
        <v>4045</v>
      </c>
      <c r="F77" t="s">
        <v>3883</v>
      </c>
      <c r="G77" t="s">
        <v>4046</v>
      </c>
    </row>
    <row r="78" spans="1:7" ht="11.25" customHeight="1">
      <c r="A78" t="s">
        <v>16</v>
      </c>
      <c r="B78" t="s">
        <v>4036</v>
      </c>
      <c r="C78" t="s">
        <v>4037</v>
      </c>
      <c r="D78" t="s">
        <v>4047</v>
      </c>
      <c r="E78" t="s">
        <v>4048</v>
      </c>
      <c r="F78" t="s">
        <v>3883</v>
      </c>
      <c r="G78" t="s">
        <v>4049</v>
      </c>
    </row>
    <row r="79" spans="1:7" ht="11.25" customHeight="1">
      <c r="A79" t="s">
        <v>16</v>
      </c>
      <c r="B79" t="s">
        <v>4036</v>
      </c>
      <c r="C79" t="s">
        <v>4037</v>
      </c>
      <c r="D79" t="s">
        <v>4050</v>
      </c>
      <c r="E79" t="s">
        <v>4051</v>
      </c>
      <c r="F79" t="s">
        <v>3883</v>
      </c>
      <c r="G79" t="s">
        <v>4052</v>
      </c>
    </row>
    <row r="80" spans="1:7" ht="11.25" customHeight="1">
      <c r="A80" t="s">
        <v>16</v>
      </c>
      <c r="B80" t="s">
        <v>4036</v>
      </c>
      <c r="C80" t="s">
        <v>4037</v>
      </c>
      <c r="D80" t="s">
        <v>4053</v>
      </c>
      <c r="E80" t="s">
        <v>4054</v>
      </c>
      <c r="F80" t="s">
        <v>3883</v>
      </c>
      <c r="G80" t="s">
        <v>4055</v>
      </c>
    </row>
    <row r="81" spans="1:7" ht="11.25" customHeight="1">
      <c r="A81" t="s">
        <v>16</v>
      </c>
      <c r="B81" t="s">
        <v>4036</v>
      </c>
      <c r="C81" t="s">
        <v>4037</v>
      </c>
      <c r="D81" t="s">
        <v>4056</v>
      </c>
      <c r="E81" t="s">
        <v>4057</v>
      </c>
      <c r="F81" t="s">
        <v>3883</v>
      </c>
      <c r="G81" t="s">
        <v>4058</v>
      </c>
    </row>
    <row r="82" spans="1:7" ht="11.25" customHeight="1">
      <c r="A82" t="s">
        <v>16</v>
      </c>
      <c r="B82" t="s">
        <v>4036</v>
      </c>
      <c r="C82" t="s">
        <v>4037</v>
      </c>
      <c r="D82" t="s">
        <v>4036</v>
      </c>
      <c r="E82" t="s">
        <v>4037</v>
      </c>
      <c r="F82" t="s">
        <v>3886</v>
      </c>
      <c r="G82" t="s">
        <v>4059</v>
      </c>
    </row>
    <row r="83" spans="1:7" ht="11.25" customHeight="1">
      <c r="A83" t="s">
        <v>16</v>
      </c>
      <c r="B83" t="s">
        <v>4036</v>
      </c>
      <c r="C83" t="s">
        <v>4037</v>
      </c>
      <c r="D83" t="s">
        <v>4060</v>
      </c>
      <c r="E83" t="s">
        <v>4061</v>
      </c>
      <c r="F83" t="s">
        <v>3883</v>
      </c>
      <c r="G83" t="s">
        <v>4062</v>
      </c>
    </row>
    <row r="84" spans="1:7" ht="11.25" customHeight="1">
      <c r="A84" t="s">
        <v>16</v>
      </c>
      <c r="B84" t="s">
        <v>4036</v>
      </c>
      <c r="C84" t="s">
        <v>4037</v>
      </c>
      <c r="D84" t="s">
        <v>4063</v>
      </c>
      <c r="E84" t="s">
        <v>4064</v>
      </c>
      <c r="F84" t="s">
        <v>3883</v>
      </c>
      <c r="G84" t="s">
        <v>4065</v>
      </c>
    </row>
    <row r="85" spans="1:7" ht="11.25" customHeight="1">
      <c r="A85" t="s">
        <v>16</v>
      </c>
      <c r="B85" t="s">
        <v>4036</v>
      </c>
      <c r="C85" t="s">
        <v>4037</v>
      </c>
      <c r="D85" t="s">
        <v>4066</v>
      </c>
      <c r="E85" t="s">
        <v>4067</v>
      </c>
      <c r="F85" t="s">
        <v>3883</v>
      </c>
      <c r="G85" t="s">
        <v>4068</v>
      </c>
    </row>
    <row r="86" spans="1:7" ht="11.25" customHeight="1">
      <c r="A86" t="s">
        <v>16</v>
      </c>
      <c r="B86" t="s">
        <v>4036</v>
      </c>
      <c r="C86" t="s">
        <v>4037</v>
      </c>
      <c r="D86" t="s">
        <v>4069</v>
      </c>
      <c r="E86" t="s">
        <v>4070</v>
      </c>
      <c r="F86" t="s">
        <v>3883</v>
      </c>
      <c r="G86" t="s">
        <v>4071</v>
      </c>
    </row>
    <row r="87" spans="1:7" ht="11.25" customHeight="1">
      <c r="A87" t="s">
        <v>16</v>
      </c>
      <c r="B87" t="s">
        <v>4036</v>
      </c>
      <c r="C87" t="s">
        <v>4037</v>
      </c>
      <c r="D87" t="s">
        <v>4072</v>
      </c>
      <c r="E87" t="s">
        <v>4073</v>
      </c>
      <c r="F87" t="s">
        <v>3883</v>
      </c>
      <c r="G87" t="s">
        <v>4074</v>
      </c>
    </row>
    <row r="88" spans="1:7" ht="11.25" customHeight="1">
      <c r="A88" t="s">
        <v>16</v>
      </c>
      <c r="B88" t="s">
        <v>4036</v>
      </c>
      <c r="C88" t="s">
        <v>4037</v>
      </c>
      <c r="D88" t="s">
        <v>4075</v>
      </c>
      <c r="E88" t="s">
        <v>4076</v>
      </c>
      <c r="F88" t="s">
        <v>3883</v>
      </c>
      <c r="G88" t="s">
        <v>4077</v>
      </c>
    </row>
    <row r="89" spans="1:7" ht="11.25" customHeight="1">
      <c r="A89" t="s">
        <v>16</v>
      </c>
      <c r="B89" t="s">
        <v>4036</v>
      </c>
      <c r="C89" t="s">
        <v>4037</v>
      </c>
      <c r="D89" t="s">
        <v>4078</v>
      </c>
      <c r="E89" t="s">
        <v>4079</v>
      </c>
      <c r="F89" t="s">
        <v>3883</v>
      </c>
      <c r="G89" t="s">
        <v>4080</v>
      </c>
    </row>
    <row r="90" spans="1:7" ht="11.25" customHeight="1">
      <c r="A90" t="s">
        <v>16</v>
      </c>
      <c r="B90" t="s">
        <v>4081</v>
      </c>
      <c r="C90" t="s">
        <v>4082</v>
      </c>
      <c r="D90" t="s">
        <v>4081</v>
      </c>
      <c r="E90" t="s">
        <v>4082</v>
      </c>
      <c r="F90" t="s">
        <v>3878</v>
      </c>
      <c r="G90" t="s">
        <v>4083</v>
      </c>
    </row>
    <row r="91" spans="1:7" ht="11.25" customHeight="1">
      <c r="A91" t="s">
        <v>16</v>
      </c>
      <c r="B91" t="s">
        <v>4084</v>
      </c>
      <c r="C91" t="s">
        <v>4085</v>
      </c>
      <c r="D91" t="s">
        <v>4084</v>
      </c>
      <c r="E91" t="s">
        <v>4085</v>
      </c>
      <c r="F91" t="s">
        <v>3878</v>
      </c>
      <c r="G91" t="s">
        <v>4086</v>
      </c>
    </row>
    <row r="92" spans="1:7" ht="11.25" customHeight="1">
      <c r="A92" t="s">
        <v>16</v>
      </c>
      <c r="B92" t="s">
        <v>106</v>
      </c>
      <c r="C92" t="s">
        <v>4087</v>
      </c>
      <c r="D92" t="s">
        <v>4088</v>
      </c>
      <c r="E92" t="s">
        <v>4089</v>
      </c>
      <c r="F92" t="s">
        <v>3883</v>
      </c>
      <c r="G92" t="s">
        <v>4090</v>
      </c>
    </row>
    <row r="93" spans="1:7" ht="11.25" customHeight="1">
      <c r="A93" t="s">
        <v>16</v>
      </c>
      <c r="B93" t="s">
        <v>106</v>
      </c>
      <c r="C93" t="s">
        <v>4087</v>
      </c>
      <c r="D93" t="s">
        <v>4091</v>
      </c>
      <c r="E93" t="s">
        <v>4092</v>
      </c>
      <c r="F93" t="s">
        <v>3883</v>
      </c>
      <c r="G93" t="s">
        <v>4093</v>
      </c>
    </row>
    <row r="94" spans="1:7" ht="11.25" customHeight="1">
      <c r="A94" t="s">
        <v>16</v>
      </c>
      <c r="B94" t="s">
        <v>106</v>
      </c>
      <c r="C94" t="s">
        <v>4087</v>
      </c>
      <c r="D94" t="s">
        <v>4094</v>
      </c>
      <c r="E94" t="s">
        <v>4095</v>
      </c>
      <c r="F94" t="s">
        <v>3883</v>
      </c>
      <c r="G94" t="s">
        <v>4096</v>
      </c>
    </row>
    <row r="95" spans="1:7" ht="11.25" customHeight="1">
      <c r="A95" t="s">
        <v>16</v>
      </c>
      <c r="B95" t="s">
        <v>106</v>
      </c>
      <c r="C95" t="s">
        <v>4087</v>
      </c>
      <c r="D95" t="s">
        <v>110</v>
      </c>
      <c r="E95" t="s">
        <v>111</v>
      </c>
      <c r="F95" t="s">
        <v>3883</v>
      </c>
      <c r="G95" t="s">
        <v>109</v>
      </c>
    </row>
    <row r="96" spans="1:7" ht="11.25" customHeight="1">
      <c r="A96" t="s">
        <v>16</v>
      </c>
      <c r="B96" t="s">
        <v>106</v>
      </c>
      <c r="C96" t="s">
        <v>4087</v>
      </c>
      <c r="D96" t="s">
        <v>4097</v>
      </c>
      <c r="E96" t="s">
        <v>4098</v>
      </c>
      <c r="F96" t="s">
        <v>3883</v>
      </c>
      <c r="G96" t="s">
        <v>4099</v>
      </c>
    </row>
    <row r="97" spans="1:7" ht="11.25" customHeight="1">
      <c r="A97" t="s">
        <v>16</v>
      </c>
      <c r="B97" t="s">
        <v>106</v>
      </c>
      <c r="C97" t="s">
        <v>4087</v>
      </c>
      <c r="D97" t="s">
        <v>4100</v>
      </c>
      <c r="E97" t="s">
        <v>4101</v>
      </c>
      <c r="F97" t="s">
        <v>3883</v>
      </c>
      <c r="G97" t="s">
        <v>4102</v>
      </c>
    </row>
    <row r="98" spans="1:7" ht="11.25" customHeight="1">
      <c r="A98" t="s">
        <v>16</v>
      </c>
      <c r="B98" t="s">
        <v>106</v>
      </c>
      <c r="C98" t="s">
        <v>4087</v>
      </c>
      <c r="D98" t="s">
        <v>106</v>
      </c>
      <c r="E98" t="s">
        <v>4087</v>
      </c>
      <c r="F98" t="s">
        <v>3886</v>
      </c>
      <c r="G98" t="s">
        <v>4103</v>
      </c>
    </row>
    <row r="99" spans="1:7" ht="11.25" customHeight="1">
      <c r="A99" t="s">
        <v>16</v>
      </c>
      <c r="B99" t="s">
        <v>106</v>
      </c>
      <c r="C99" t="s">
        <v>4087</v>
      </c>
      <c r="D99" t="s">
        <v>4104</v>
      </c>
      <c r="E99" t="s">
        <v>4105</v>
      </c>
      <c r="F99" t="s">
        <v>3883</v>
      </c>
      <c r="G99" t="s">
        <v>4106</v>
      </c>
    </row>
    <row r="100" spans="1:7" ht="11.25" customHeight="1">
      <c r="A100" t="s">
        <v>16</v>
      </c>
      <c r="B100" t="s">
        <v>106</v>
      </c>
      <c r="C100" t="s">
        <v>4087</v>
      </c>
      <c r="D100" t="s">
        <v>4107</v>
      </c>
      <c r="E100" t="s">
        <v>4108</v>
      </c>
      <c r="F100" t="s">
        <v>3883</v>
      </c>
      <c r="G100" t="s">
        <v>4109</v>
      </c>
    </row>
    <row r="101" spans="1:7" ht="11.25" customHeight="1">
      <c r="A101" t="s">
        <v>16</v>
      </c>
      <c r="B101" t="s">
        <v>106</v>
      </c>
      <c r="C101" t="s">
        <v>4087</v>
      </c>
      <c r="D101" t="s">
        <v>107</v>
      </c>
      <c r="E101" t="s">
        <v>108</v>
      </c>
      <c r="F101" t="s">
        <v>3883</v>
      </c>
      <c r="G101" t="s">
        <v>105</v>
      </c>
    </row>
    <row r="102" spans="1:7" ht="11.25" customHeight="1">
      <c r="A102" t="s">
        <v>16</v>
      </c>
      <c r="B102" t="s">
        <v>106</v>
      </c>
      <c r="C102" t="s">
        <v>4087</v>
      </c>
      <c r="D102" t="s">
        <v>4110</v>
      </c>
      <c r="E102" t="s">
        <v>4111</v>
      </c>
      <c r="F102" t="s">
        <v>3883</v>
      </c>
      <c r="G102" t="s">
        <v>4112</v>
      </c>
    </row>
    <row r="103" spans="1:7" ht="11.25" customHeight="1">
      <c r="A103" t="s">
        <v>16</v>
      </c>
      <c r="B103" t="s">
        <v>4116</v>
      </c>
      <c r="C103" t="s">
        <v>4117</v>
      </c>
      <c r="D103" t="s">
        <v>4116</v>
      </c>
      <c r="E103" t="s">
        <v>4117</v>
      </c>
      <c r="F103" t="s">
        <v>3878</v>
      </c>
      <c r="G103" t="s">
        <v>4118</v>
      </c>
    </row>
    <row r="104" spans="1:7" ht="11.25" customHeight="1">
      <c r="A104" t="s">
        <v>16</v>
      </c>
      <c r="B104" t="s">
        <v>4119</v>
      </c>
      <c r="C104" t="s">
        <v>4120</v>
      </c>
      <c r="D104" t="s">
        <v>4119</v>
      </c>
      <c r="E104" t="s">
        <v>4120</v>
      </c>
      <c r="F104" t="s">
        <v>3878</v>
      </c>
      <c r="G104" t="s">
        <v>4121</v>
      </c>
    </row>
    <row r="105" spans="1:7" ht="11.25" customHeight="1">
      <c r="A105" t="s">
        <v>16</v>
      </c>
      <c r="B105" t="s">
        <v>4122</v>
      </c>
      <c r="C105" t="s">
        <v>4123</v>
      </c>
      <c r="D105" t="s">
        <v>4122</v>
      </c>
      <c r="E105" t="s">
        <v>4123</v>
      </c>
      <c r="F105" t="s">
        <v>3878</v>
      </c>
      <c r="G105" t="s">
        <v>4124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3"/>
    <col min="2" max="2" width="84.28515625" style="1613" customWidth="1"/>
    <col min="3" max="3" width="9.140625" style="1613"/>
  </cols>
  <sheetData>
    <row r="1" spans="1:3" ht="11.25" customHeight="1">
      <c r="A1" s="764" t="s">
        <v>4166</v>
      </c>
      <c r="B1" s="764" t="s">
        <v>4167</v>
      </c>
      <c r="C1" s="764" t="s">
        <v>1370</v>
      </c>
    </row>
    <row r="2" spans="1:3" ht="11.25" customHeight="1">
      <c r="A2" s="764">
        <v>4189678</v>
      </c>
      <c r="B2" s="764" t="s">
        <v>4168</v>
      </c>
      <c r="C2" s="764" t="s">
        <v>4169</v>
      </c>
    </row>
    <row r="3" spans="1:3" ht="11.25" customHeight="1">
      <c r="A3" s="764">
        <v>4190415</v>
      </c>
      <c r="B3" s="764" t="s">
        <v>4170</v>
      </c>
      <c r="C3" s="764" t="s">
        <v>4169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99" customWidth="1"/>
    <col min="2" max="5" width="9.140625" style="99"/>
  </cols>
  <sheetData>
    <row r="1" spans="1:5" ht="15" customHeight="1">
      <c r="A1" s="100" t="s">
        <v>4171</v>
      </c>
      <c r="B1" s="100" t="s">
        <v>4172</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4173</v>
      </c>
      <c r="B1" t="b">
        <v>1</v>
      </c>
    </row>
    <row r="2" spans="1:2" ht="11.25" customHeight="1">
      <c r="A2" t="s">
        <v>4174</v>
      </c>
      <c r="B2" t="b">
        <v>0</v>
      </c>
    </row>
    <row r="3" spans="1:2" ht="11.25" customHeight="1">
      <c r="A3" t="s">
        <v>4175</v>
      </c>
      <c r="B3" t="b">
        <v>1</v>
      </c>
    </row>
    <row r="4" spans="1:2" ht="11.25" customHeight="1">
      <c r="A4" t="s">
        <v>4176</v>
      </c>
      <c r="B4" t="b">
        <v>0</v>
      </c>
    </row>
    <row r="5" spans="1:2" ht="11.25" customHeight="1">
      <c r="A5" t="s">
        <v>4177</v>
      </c>
      <c r="B5" t="b">
        <v>0</v>
      </c>
    </row>
    <row r="6" spans="1:2" ht="11.25" customHeight="1">
      <c r="A6" t="s">
        <v>4178</v>
      </c>
      <c r="B6" t="b">
        <v>0</v>
      </c>
    </row>
    <row r="7" spans="1:2" ht="11.25" customHeight="1">
      <c r="A7" t="s">
        <v>4179</v>
      </c>
      <c r="B7" t="b">
        <v>0</v>
      </c>
    </row>
    <row r="8" spans="1:2" ht="11.25" customHeight="1">
      <c r="A8" t="s">
        <v>4180</v>
      </c>
      <c r="B8" t="b">
        <v>0</v>
      </c>
    </row>
    <row r="9" spans="1:2" ht="11.25" customHeight="1">
      <c r="A9" t="s">
        <v>4181</v>
      </c>
      <c r="B9" t="b">
        <v>0</v>
      </c>
    </row>
    <row r="10" spans="1:2" ht="11.25" customHeight="1">
      <c r="A10" t="s">
        <v>4182</v>
      </c>
      <c r="B10" t="b">
        <v>1</v>
      </c>
    </row>
    <row r="11" spans="1:2" ht="11.25" customHeight="1">
      <c r="A11" t="s">
        <v>4183</v>
      </c>
      <c r="B11" t="b">
        <v>0</v>
      </c>
    </row>
    <row r="12" spans="1:2" ht="11.25" customHeight="1">
      <c r="A12" t="s">
        <v>4184</v>
      </c>
      <c r="B12" t="b">
        <v>0</v>
      </c>
    </row>
    <row r="13" spans="1:2" ht="11.25" customHeight="1">
      <c r="A13" t="s">
        <v>4185</v>
      </c>
      <c r="B13" t="b">
        <v>0</v>
      </c>
    </row>
    <row r="14" spans="1:2" ht="11.25" customHeight="1">
      <c r="A14" t="s">
        <v>4186</v>
      </c>
      <c r="B14" t="b">
        <v>0</v>
      </c>
    </row>
    <row r="15" spans="1:2" ht="11.25" customHeight="1">
      <c r="A15" t="s">
        <v>4187</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2325"/>
  </cols>
  <sheetData>
    <row r="1" spans="1:1" ht="12.75" customHeight="1">
      <c r="A1" s="1"/>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67" customWidth="1"/>
    <col min="2" max="2" width="21.140625" style="1767" customWidth="1"/>
  </cols>
  <sheetData>
    <row r="1" spans="1:2" ht="11.25" customHeight="1">
      <c r="A1" s="6" t="s">
        <v>4188</v>
      </c>
      <c r="B1" s="6" t="s">
        <v>4189</v>
      </c>
    </row>
    <row r="2" spans="1:2" ht="11.25" customHeight="1">
      <c r="A2" s="3" t="s">
        <v>4190</v>
      </c>
      <c r="B2" s="3" t="s">
        <v>4191</v>
      </c>
    </row>
    <row r="3" spans="1:2" ht="11.25" customHeight="1">
      <c r="A3" s="3" t="s">
        <v>4192</v>
      </c>
      <c r="B3" s="3" t="s">
        <v>4193</v>
      </c>
    </row>
    <row r="4" spans="1:2" ht="11.25" customHeight="1">
      <c r="A4" s="3" t="s">
        <v>4194</v>
      </c>
      <c r="B4" s="3" t="s">
        <v>4195</v>
      </c>
    </row>
    <row r="5" spans="1:2" ht="11.25" customHeight="1">
      <c r="A5" s="3" t="s">
        <v>4196</v>
      </c>
      <c r="B5" s="3" t="s">
        <v>4197</v>
      </c>
    </row>
    <row r="6" spans="1:2" ht="11.25" customHeight="1">
      <c r="A6" s="3" t="s">
        <v>4198</v>
      </c>
      <c r="B6" s="3" t="s">
        <v>4199</v>
      </c>
    </row>
    <row r="7" spans="1:2" ht="11.25" customHeight="1">
      <c r="A7" s="3" t="s">
        <v>4200</v>
      </c>
      <c r="B7" s="3" t="s">
        <v>4201</v>
      </c>
    </row>
    <row r="8" spans="1:2" ht="11.25" customHeight="1">
      <c r="A8" s="3" t="s">
        <v>4202</v>
      </c>
      <c r="B8" s="3" t="s">
        <v>4203</v>
      </c>
    </row>
    <row r="9" spans="1:2" ht="11.25" customHeight="1">
      <c r="A9" s="3" t="s">
        <v>4204</v>
      </c>
      <c r="B9" s="3" t="s">
        <v>4205</v>
      </c>
    </row>
    <row r="10" spans="1:2" ht="11.25" customHeight="1">
      <c r="A10" s="3" t="s">
        <v>4206</v>
      </c>
      <c r="B10" s="3" t="s">
        <v>4207</v>
      </c>
    </row>
    <row r="11" spans="1:2" ht="11.25" customHeight="1">
      <c r="A11" s="3" t="s">
        <v>4208</v>
      </c>
      <c r="B11" s="3" t="s">
        <v>4209</v>
      </c>
    </row>
    <row r="12" spans="1:2" ht="11.25" customHeight="1">
      <c r="A12" s="3" t="s">
        <v>4210</v>
      </c>
      <c r="B12" s="3" t="s">
        <v>4211</v>
      </c>
    </row>
    <row r="13" spans="1:2" ht="11.25" customHeight="1">
      <c r="A13" s="3" t="s">
        <v>4212</v>
      </c>
      <c r="B13" s="3" t="s">
        <v>4213</v>
      </c>
    </row>
    <row r="14" spans="1:2" ht="11.25" customHeight="1">
      <c r="A14" s="3" t="s">
        <v>4214</v>
      </c>
      <c r="B14" s="3" t="s">
        <v>4215</v>
      </c>
    </row>
    <row r="15" spans="1:2" ht="11.25" customHeight="1">
      <c r="A15" s="3" t="s">
        <v>4216</v>
      </c>
      <c r="B15" s="3" t="s">
        <v>4217</v>
      </c>
    </row>
    <row r="16" spans="1:2" ht="11.25" customHeight="1">
      <c r="A16" s="3" t="s">
        <v>4218</v>
      </c>
      <c r="B16" s="3" t="s">
        <v>4219</v>
      </c>
    </row>
    <row r="17" spans="1:2" ht="11.25" customHeight="1">
      <c r="A17" s="3" t="s">
        <v>4220</v>
      </c>
      <c r="B17" s="3" t="s">
        <v>4221</v>
      </c>
    </row>
    <row r="18" spans="1:2" ht="11.25" customHeight="1">
      <c r="A18" s="3" t="s">
        <v>4222</v>
      </c>
      <c r="B18" s="3" t="s">
        <v>4223</v>
      </c>
    </row>
    <row r="19" spans="1:2" ht="11.25" customHeight="1">
      <c r="A19" s="3" t="s">
        <v>4224</v>
      </c>
      <c r="B19" s="3" t="s">
        <v>4225</v>
      </c>
    </row>
    <row r="20" spans="1:2" ht="11.25" customHeight="1">
      <c r="A20" s="3" t="s">
        <v>4226</v>
      </c>
      <c r="B20" s="3" t="s">
        <v>4227</v>
      </c>
    </row>
    <row r="21" spans="1:2" ht="11.25" customHeight="1">
      <c r="A21" s="3" t="s">
        <v>4228</v>
      </c>
      <c r="B21" s="3" t="s">
        <v>4229</v>
      </c>
    </row>
    <row r="22" spans="1:2" ht="11.25" customHeight="1">
      <c r="A22" s="3" t="s">
        <v>4230</v>
      </c>
      <c r="B22" s="3" t="s">
        <v>4231</v>
      </c>
    </row>
    <row r="23" spans="1:2" ht="11.25" customHeight="1">
      <c r="A23" s="3" t="s">
        <v>4232</v>
      </c>
      <c r="B23" s="3" t="s">
        <v>4233</v>
      </c>
    </row>
    <row r="24" spans="1:2" ht="11.25" customHeight="1">
      <c r="A24" s="3" t="s">
        <v>4234</v>
      </c>
      <c r="B24" s="3" t="s">
        <v>4235</v>
      </c>
    </row>
    <row r="25" spans="1:2" ht="11.25" customHeight="1">
      <c r="A25" s="3" t="s">
        <v>4236</v>
      </c>
      <c r="B25" s="3" t="s">
        <v>4237</v>
      </c>
    </row>
    <row r="26" spans="1:2" ht="11.25" customHeight="1">
      <c r="A26" s="3" t="s">
        <v>4238</v>
      </c>
      <c r="B26" s="3" t="s">
        <v>4239</v>
      </c>
    </row>
    <row r="27" spans="1:2" ht="11.25" customHeight="1">
      <c r="A27" s="3" t="s">
        <v>4240</v>
      </c>
      <c r="B27" s="3" t="s">
        <v>4241</v>
      </c>
    </row>
    <row r="28" spans="1:2" ht="11.25" customHeight="1">
      <c r="A28" s="3" t="s">
        <v>4242</v>
      </c>
      <c r="B28" s="3" t="s">
        <v>4243</v>
      </c>
    </row>
    <row r="29" spans="1:2" ht="11.25" customHeight="1">
      <c r="A29" s="3" t="s">
        <v>4244</v>
      </c>
      <c r="B29" s="3" t="s">
        <v>4245</v>
      </c>
    </row>
    <row r="30" spans="1:2" ht="11.25" customHeight="1">
      <c r="A30" s="3" t="s">
        <v>4246</v>
      </c>
      <c r="B30" s="3" t="s">
        <v>4247</v>
      </c>
    </row>
    <row r="31" spans="1:2" ht="11.25" customHeight="1">
      <c r="A31" s="3" t="s">
        <v>4248</v>
      </c>
      <c r="B31" s="3" t="s">
        <v>4249</v>
      </c>
    </row>
    <row r="32" spans="1:2" ht="11.25" customHeight="1">
      <c r="A32" s="3" t="s">
        <v>4250</v>
      </c>
      <c r="B32" s="3" t="s">
        <v>4251</v>
      </c>
    </row>
    <row r="33" spans="1:2" ht="11.25" customHeight="1">
      <c r="A33" s="3" t="s">
        <v>4252</v>
      </c>
      <c r="B33" s="3" t="s">
        <v>4253</v>
      </c>
    </row>
    <row r="34" spans="1:2" ht="11.25" customHeight="1">
      <c r="A34" s="3" t="s">
        <v>4254</v>
      </c>
      <c r="B34" s="3" t="s">
        <v>4255</v>
      </c>
    </row>
    <row r="35" spans="1:2" ht="11.25" customHeight="1">
      <c r="A35" s="3" t="s">
        <v>4256</v>
      </c>
      <c r="B35" s="3" t="s">
        <v>4257</v>
      </c>
    </row>
    <row r="36" spans="1:2" ht="11.25" customHeight="1">
      <c r="A36" s="3" t="s">
        <v>4258</v>
      </c>
      <c r="B36" s="3" t="s">
        <v>4259</v>
      </c>
    </row>
    <row r="37" spans="1:2" ht="11.25" customHeight="1">
      <c r="A37" s="3" t="s">
        <v>4260</v>
      </c>
      <c r="B37" s="3" t="s">
        <v>4261</v>
      </c>
    </row>
    <row r="38" spans="1:2" ht="11.25" customHeight="1">
      <c r="A38" s="3" t="s">
        <v>4262</v>
      </c>
      <c r="B38" s="3" t="s">
        <v>4263</v>
      </c>
    </row>
    <row r="39" spans="1:2" ht="11.25" customHeight="1">
      <c r="A39" s="3" t="s">
        <v>4264</v>
      </c>
      <c r="B39" s="3" t="s">
        <v>4265</v>
      </c>
    </row>
    <row r="40" spans="1:2" ht="11.25" customHeight="1">
      <c r="A40" s="3" t="s">
        <v>4266</v>
      </c>
      <c r="B40" s="3" t="s">
        <v>4267</v>
      </c>
    </row>
    <row r="41" spans="1:2" ht="11.25" customHeight="1">
      <c r="A41" s="3" t="s">
        <v>4268</v>
      </c>
      <c r="B41" s="3" t="s">
        <v>4269</v>
      </c>
    </row>
    <row r="42" spans="1:2" ht="11.25" customHeight="1">
      <c r="A42" s="3" t="s">
        <v>4270</v>
      </c>
      <c r="B42" s="3" t="s">
        <v>4271</v>
      </c>
    </row>
    <row r="43" spans="1:2" ht="11.25" customHeight="1">
      <c r="A43" s="3" t="s">
        <v>4272</v>
      </c>
      <c r="B43" s="3" t="s">
        <v>4273</v>
      </c>
    </row>
    <row r="44" spans="1:2" ht="11.25" customHeight="1">
      <c r="A44" s="3" t="s">
        <v>4274</v>
      </c>
      <c r="B44" s="3" t="s">
        <v>4275</v>
      </c>
    </row>
    <row r="45" spans="1:2" ht="11.25" customHeight="1">
      <c r="A45" s="3" t="s">
        <v>4276</v>
      </c>
      <c r="B45" s="3" t="s">
        <v>4277</v>
      </c>
    </row>
    <row r="46" spans="1:2" ht="11.25" customHeight="1">
      <c r="A46" s="3" t="s">
        <v>4278</v>
      </c>
      <c r="B46" s="3" t="s">
        <v>4279</v>
      </c>
    </row>
    <row r="47" spans="1:2" ht="11.25" customHeight="1">
      <c r="A47" s="3" t="s">
        <v>4280</v>
      </c>
      <c r="B47" s="3" t="s">
        <v>4281</v>
      </c>
    </row>
    <row r="48" spans="1:2" ht="11.25" customHeight="1">
      <c r="A48" s="3" t="s">
        <v>4282</v>
      </c>
      <c r="B48" s="3" t="s">
        <v>4283</v>
      </c>
    </row>
    <row r="49" spans="1:2" ht="11.25" customHeight="1">
      <c r="A49" s="3" t="s">
        <v>4284</v>
      </c>
      <c r="B49" s="3" t="s">
        <v>4285</v>
      </c>
    </row>
    <row r="50" spans="1:2" ht="11.25" customHeight="1">
      <c r="A50" s="3" t="s">
        <v>4286</v>
      </c>
      <c r="B50" s="3" t="s">
        <v>4287</v>
      </c>
    </row>
    <row r="51" spans="1:2" ht="11.25" customHeight="1">
      <c r="A51" s="3" t="s">
        <v>4288</v>
      </c>
      <c r="B51" s="3" t="s">
        <v>4289</v>
      </c>
    </row>
    <row r="52" spans="1:2" ht="11.25" customHeight="1">
      <c r="A52" s="3" t="s">
        <v>4290</v>
      </c>
      <c r="B52" s="3" t="s">
        <v>4291</v>
      </c>
    </row>
    <row r="53" spans="1:2" ht="11.25" customHeight="1">
      <c r="A53" s="3" t="s">
        <v>4292</v>
      </c>
      <c r="B53" s="3" t="s">
        <v>4293</v>
      </c>
    </row>
    <row r="54" spans="1:2" ht="11.25" customHeight="1">
      <c r="A54" s="3" t="s">
        <v>4294</v>
      </c>
      <c r="B54" s="3" t="s">
        <v>4295</v>
      </c>
    </row>
    <row r="55" spans="1:2" ht="11.25" customHeight="1">
      <c r="A55" s="3" t="s">
        <v>4296</v>
      </c>
      <c r="B55" s="3" t="s">
        <v>4297</v>
      </c>
    </row>
    <row r="56" spans="1:2" ht="11.25" customHeight="1">
      <c r="A56" s="3" t="s">
        <v>4298</v>
      </c>
      <c r="B56" s="3" t="s">
        <v>4299</v>
      </c>
    </row>
    <row r="57" spans="1:2" ht="11.25" customHeight="1">
      <c r="A57" s="3" t="s">
        <v>4300</v>
      </c>
      <c r="B57" s="3" t="s">
        <v>4301</v>
      </c>
    </row>
    <row r="58" spans="1:2" ht="11.25" customHeight="1">
      <c r="A58" s="3" t="s">
        <v>4302</v>
      </c>
      <c r="B58" s="3" t="s">
        <v>4303</v>
      </c>
    </row>
    <row r="59" spans="1:2" ht="11.25" customHeight="1">
      <c r="A59" s="3" t="s">
        <v>4304</v>
      </c>
      <c r="B59" s="3" t="s">
        <v>4305</v>
      </c>
    </row>
    <row r="60" spans="1:2" ht="11.25" customHeight="1">
      <c r="A60" s="3" t="s">
        <v>4306</v>
      </c>
      <c r="B60" s="3" t="s">
        <v>4307</v>
      </c>
    </row>
    <row r="61" spans="1:2" ht="11.25" customHeight="1">
      <c r="A61" s="3"/>
      <c r="B61" s="3" t="s">
        <v>4308</v>
      </c>
    </row>
    <row r="62" spans="1:2" ht="11.25" customHeight="1">
      <c r="A62" s="3"/>
      <c r="B62" s="3" t="s">
        <v>4309</v>
      </c>
    </row>
    <row r="63" spans="1:2" ht="11.25" customHeight="1">
      <c r="A63" s="3"/>
      <c r="B63" s="3" t="s">
        <v>4310</v>
      </c>
    </row>
    <row r="64" spans="1:2" ht="11.25" customHeight="1">
      <c r="A64" s="3"/>
      <c r="B64" s="3" t="s">
        <v>4311</v>
      </c>
    </row>
    <row r="65" spans="1:2" ht="11.25" customHeight="1">
      <c r="A65" s="3"/>
      <c r="B65" s="3" t="s">
        <v>4312</v>
      </c>
    </row>
    <row r="66" spans="1:2" ht="11.25" customHeight="1">
      <c r="A66" s="3"/>
      <c r="B66" s="3" t="s">
        <v>4313</v>
      </c>
    </row>
    <row r="67" spans="1:2" ht="11.25" customHeight="1">
      <c r="A67" s="3"/>
      <c r="B67" s="3" t="s">
        <v>4314</v>
      </c>
    </row>
    <row r="68" spans="1:2" ht="11.25" customHeight="1">
      <c r="A68" s="3"/>
      <c r="B68" s="3" t="s">
        <v>4315</v>
      </c>
    </row>
    <row r="69" spans="1:2" ht="11.25" customHeight="1">
      <c r="A69" s="3"/>
      <c r="B69" s="3" t="s">
        <v>4316</v>
      </c>
    </row>
    <row r="70" spans="1:2" ht="11.25" customHeight="1">
      <c r="A70" s="3"/>
      <c r="B70" s="3" t="s">
        <v>4317</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67" customWidth="1"/>
    <col min="2" max="2" width="90.7109375" style="1767" customWidth="1"/>
    <col min="3" max="4" width="9.140625" style="1767"/>
  </cols>
  <sheetData>
    <row r="1" spans="2:4" ht="11.25" customHeight="1">
      <c r="B1" s="32" t="s">
        <v>4318</v>
      </c>
    </row>
    <row r="2" spans="2:4" ht="90" customHeight="1">
      <c r="B2" s="33" t="s">
        <v>4319</v>
      </c>
    </row>
    <row r="3" spans="2:4" ht="67.5" customHeight="1">
      <c r="B3" s="33" t="s">
        <v>4320</v>
      </c>
    </row>
    <row r="4" spans="2:4" ht="33.75" customHeight="1">
      <c r="B4" s="33" t="s">
        <v>4321</v>
      </c>
    </row>
    <row r="5" spans="2:4" ht="11.25" customHeight="1">
      <c r="B5" s="33" t="s">
        <v>4322</v>
      </c>
    </row>
    <row r="6" spans="2:4" ht="22.5" customHeight="1">
      <c r="B6" s="33" t="s">
        <v>4323</v>
      </c>
    </row>
    <row r="7" spans="2:4" ht="22.5" customHeight="1">
      <c r="B7" s="33" t="s">
        <v>4324</v>
      </c>
    </row>
    <row r="8" spans="2:4" ht="22.5" customHeight="1">
      <c r="B8" s="33" t="s">
        <v>4325</v>
      </c>
    </row>
    <row r="9" spans="2:4" ht="22.5" customHeight="1">
      <c r="B9" s="33" t="s">
        <v>4326</v>
      </c>
    </row>
    <row r="10" spans="2:4" ht="56.25" customHeight="1">
      <c r="B10" s="33" t="s">
        <v>4327</v>
      </c>
    </row>
    <row r="11" spans="2:4" ht="12.75" customHeight="1">
      <c r="B11" s="96" t="s">
        <v>4328</v>
      </c>
    </row>
    <row r="12" spans="2:4" ht="11.25" customHeight="1">
      <c r="B12" s="32" t="s">
        <v>4329</v>
      </c>
    </row>
    <row r="13" spans="2:4" ht="22.5" customHeight="1">
      <c r="B13" s="33" t="s">
        <v>4330</v>
      </c>
    </row>
    <row r="14" spans="2:4" ht="67.5" customHeight="1">
      <c r="B14" s="33" t="s">
        <v>4331</v>
      </c>
    </row>
    <row r="15" spans="2:4" ht="22.5" customHeight="1">
      <c r="B15" s="33" t="s">
        <v>4332</v>
      </c>
    </row>
    <row r="16" spans="2:4" ht="11.25" customHeight="1">
      <c r="B16" s="32" t="s">
        <v>4333</v>
      </c>
      <c r="D16" s="39"/>
    </row>
    <row r="17" spans="1:2" ht="33.75" customHeight="1">
      <c r="B17" s="33" t="s">
        <v>4334</v>
      </c>
    </row>
    <row r="18" spans="1:2" ht="33.75" customHeight="1">
      <c r="B18" s="33" t="s">
        <v>4335</v>
      </c>
    </row>
    <row r="19" spans="1:2" ht="11.25" customHeight="1">
      <c r="B19" s="33" t="s">
        <v>4336</v>
      </c>
    </row>
    <row r="20" spans="1:2" ht="33.75" customHeight="1">
      <c r="B20" s="33" t="s">
        <v>4337</v>
      </c>
    </row>
    <row r="21" spans="1:2" ht="11.25" customHeight="1">
      <c r="B21" s="32" t="s">
        <v>4338</v>
      </c>
    </row>
    <row r="22" spans="1:2" ht="11.25" customHeight="1">
      <c r="B22" s="33" t="s">
        <v>4339</v>
      </c>
    </row>
    <row r="24" spans="1:2" ht="22.5" customHeight="1">
      <c r="B24" s="98" t="s">
        <v>4340</v>
      </c>
    </row>
    <row r="26" spans="1:2" ht="11.25" customHeight="1">
      <c r="B26" s="32" t="s">
        <v>4341</v>
      </c>
    </row>
    <row r="27" spans="1:2" ht="22.5" customHeight="1">
      <c r="B27" s="97" t="s">
        <v>415</v>
      </c>
    </row>
    <row r="28" spans="1:2" ht="56.25" customHeight="1">
      <c r="B28" s="97" t="s">
        <v>4342</v>
      </c>
    </row>
    <row r="29" spans="1:2" ht="11.25" customHeight="1">
      <c r="B29" s="147" t="s">
        <v>4343</v>
      </c>
    </row>
    <row r="30" spans="1:2" ht="22.5" customHeight="1">
      <c r="B30" s="97" t="s">
        <v>4344</v>
      </c>
    </row>
    <row r="32" spans="1:2" ht="11.25" customHeight="1">
      <c r="A32" s="125"/>
      <c r="B32" s="126" t="s">
        <v>4345</v>
      </c>
    </row>
    <row r="33" spans="1:2" ht="14.25" customHeight="1">
      <c r="A33" s="127">
        <v>1</v>
      </c>
      <c r="B33" s="128" t="s">
        <v>4346</v>
      </c>
    </row>
    <row r="34" spans="1:2" ht="14.25" customHeight="1">
      <c r="A34" s="127">
        <v>2</v>
      </c>
      <c r="B34" s="128" t="s">
        <v>4347</v>
      </c>
    </row>
    <row r="35" spans="1:2" ht="11.25" customHeight="1">
      <c r="B35" s="126" t="s">
        <v>4348</v>
      </c>
    </row>
    <row r="36" spans="1:2" ht="11.25" customHeight="1">
      <c r="B36" s="128" t="s">
        <v>4349</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5" hidden="1" customWidth="1"/>
    <col min="2" max="2" width="9.140625" style="1558" hidden="1" customWidth="1"/>
    <col min="3" max="3" width="3" style="1759" customWidth="1"/>
    <col min="4" max="4" width="5" style="1558" customWidth="1"/>
    <col min="5" max="5" width="38" style="1558" customWidth="1"/>
    <col min="6" max="7" width="3" style="1558" customWidth="1"/>
    <col min="8" max="8" width="38" style="1558" customWidth="1"/>
    <col min="9" max="9" width="35" style="1558" customWidth="1"/>
    <col min="10" max="10" width="103" style="1558" customWidth="1"/>
    <col min="11" max="11" width="3" style="1739" customWidth="1"/>
    <col min="12" max="14" width="10" style="1565" customWidth="1"/>
    <col min="15" max="15" width="13" style="1565" customWidth="1"/>
    <col min="16" max="16" width="15" style="1565" customWidth="1"/>
    <col min="17" max="17" width="16" style="1565" customWidth="1"/>
    <col min="18" max="21" width="10" style="1565" customWidth="1"/>
    <col min="22" max="22" width="10.5703125" style="1558" hidden="1"/>
  </cols>
  <sheetData>
    <row r="1" spans="1:22" ht="22.5" hidden="1" customHeight="1">
      <c r="E1" s="348"/>
      <c r="F1" s="348"/>
      <c r="G1" s="348"/>
      <c r="H1" s="2354" t="s">
        <v>371</v>
      </c>
      <c r="I1" s="2354"/>
      <c r="V1" s="1530" t="s">
        <v>14</v>
      </c>
    </row>
    <row r="2" spans="1:22" s="1558" customFormat="1" ht="14.25" hidden="1" customHeight="1">
      <c r="C2" s="1542"/>
      <c r="D2" s="2486" t="s">
        <v>100</v>
      </c>
      <c r="E2" s="2488"/>
      <c r="F2" s="1548"/>
      <c r="G2" s="1543" t="s">
        <v>100</v>
      </c>
      <c r="H2" s="1546"/>
      <c r="I2" s="1544"/>
      <c r="L2" s="1545"/>
      <c r="M2" s="1545"/>
      <c r="N2" s="1545"/>
      <c r="O2" s="1545" t="s">
        <v>401</v>
      </c>
      <c r="P2" s="1545"/>
      <c r="Q2" s="1545"/>
      <c r="R2" s="1547" t="s">
        <v>400</v>
      </c>
      <c r="S2" s="1547" t="s">
        <v>400</v>
      </c>
      <c r="T2" s="1545"/>
      <c r="U2" s="1545"/>
      <c r="V2" s="1541">
        <v>0</v>
      </c>
    </row>
    <row r="3" spans="1:22" s="1558" customFormat="1" ht="14.25" hidden="1" customHeight="1">
      <c r="C3" s="1542"/>
      <c r="D3" s="2487"/>
      <c r="E3" s="2489"/>
      <c r="F3" s="341"/>
      <c r="G3" s="798"/>
      <c r="H3" s="798" t="s">
        <v>402</v>
      </c>
      <c r="I3" s="250"/>
      <c r="L3" s="1545"/>
      <c r="M3" s="1545"/>
      <c r="N3" s="1545"/>
      <c r="O3" s="1545"/>
      <c r="P3" s="1545"/>
      <c r="Q3" s="1545"/>
      <c r="R3" s="1547"/>
      <c r="S3" s="1547"/>
      <c r="T3" s="1545"/>
      <c r="U3" s="1545"/>
      <c r="V3" s="1541">
        <v>0</v>
      </c>
    </row>
    <row r="4" spans="1:22" ht="14.25" hidden="1" customHeight="1">
      <c r="V4" s="1530">
        <v>0</v>
      </c>
    </row>
    <row r="5" spans="1:22" s="1536" customFormat="1" ht="5.25" customHeight="1">
      <c r="C5" s="637"/>
      <c r="D5" s="638"/>
      <c r="E5" s="638"/>
      <c r="F5" s="638"/>
      <c r="G5" s="638"/>
      <c r="H5" s="638" t="s">
        <v>375</v>
      </c>
      <c r="I5" s="638"/>
      <c r="J5" s="638"/>
      <c r="L5" s="1537"/>
      <c r="M5" s="1537"/>
      <c r="N5" s="1537"/>
      <c r="O5" s="1537"/>
      <c r="P5" s="1537"/>
      <c r="Q5" s="1537"/>
      <c r="R5" s="1537"/>
      <c r="S5" s="1537"/>
      <c r="T5" s="1537"/>
      <c r="U5" s="1537"/>
      <c r="V5" s="1536">
        <v>5</v>
      </c>
    </row>
    <row r="6" spans="1:22" ht="29.25" customHeight="1">
      <c r="C6" s="1439"/>
      <c r="D6" s="2490" t="s">
        <v>403</v>
      </c>
      <c r="E6" s="2490"/>
      <c r="F6" s="2490"/>
      <c r="G6" s="2490"/>
      <c r="H6" s="2490"/>
      <c r="I6" s="2490"/>
      <c r="J6" s="427"/>
      <c r="K6" s="1538"/>
      <c r="V6" s="1530">
        <v>28</v>
      </c>
    </row>
    <row r="7" spans="1:22" ht="18" customHeight="1">
      <c r="C7" s="1439"/>
      <c r="D7" s="2436" t="str">
        <f>IF(org=0,"Не определено",org)</f>
        <v>ПАО "ТГК-2"</v>
      </c>
      <c r="E7" s="2436"/>
      <c r="F7" s="2436"/>
      <c r="G7" s="2436"/>
      <c r="H7" s="2436"/>
      <c r="I7" s="2436"/>
      <c r="J7" s="427"/>
      <c r="K7" s="1538"/>
      <c r="V7" s="1530">
        <v>17</v>
      </c>
    </row>
    <row r="8" spans="1:22" s="1535" customFormat="1" ht="5.25" customHeight="1">
      <c r="A8" s="1534"/>
      <c r="C8" s="422"/>
      <c r="D8" s="421"/>
      <c r="E8" s="421"/>
      <c r="F8" s="421"/>
      <c r="G8" s="421"/>
      <c r="H8" s="421"/>
      <c r="I8" s="421"/>
      <c r="J8" s="421"/>
      <c r="L8" s="1537"/>
      <c r="M8" s="1537"/>
      <c r="N8" s="1537"/>
      <c r="O8" s="1537"/>
      <c r="P8" s="1537"/>
      <c r="Q8" s="1537"/>
      <c r="R8" s="1537"/>
      <c r="S8" s="1537"/>
      <c r="T8" s="1537"/>
      <c r="U8" s="1537"/>
      <c r="V8" s="1535">
        <v>5</v>
      </c>
    </row>
    <row r="9" spans="1:22" s="1535" customFormat="1" ht="5.25" customHeight="1">
      <c r="A9" s="1534"/>
      <c r="C9" s="422"/>
      <c r="D9" s="421"/>
      <c r="E9" s="421"/>
      <c r="F9" s="421"/>
      <c r="G9" s="421"/>
      <c r="H9" s="421"/>
      <c r="I9" s="421"/>
      <c r="J9" s="421"/>
      <c r="L9" s="1545"/>
      <c r="M9" s="1545"/>
      <c r="N9" s="1545"/>
      <c r="O9" s="1545"/>
      <c r="P9" s="1545"/>
      <c r="Q9" s="1545"/>
      <c r="R9" s="1545"/>
      <c r="S9" s="1545"/>
      <c r="T9" s="1545"/>
      <c r="U9" s="1545"/>
      <c r="V9" s="1535">
        <v>5</v>
      </c>
    </row>
    <row r="10" spans="1:22" ht="14.65" customHeight="1">
      <c r="C10" s="1439"/>
      <c r="D10" s="2474" t="s">
        <v>319</v>
      </c>
      <c r="E10" s="2475"/>
      <c r="F10" s="2475"/>
      <c r="G10" s="2475"/>
      <c r="H10" s="2475"/>
      <c r="I10" s="2475"/>
      <c r="J10" s="2415" t="s">
        <v>320</v>
      </c>
      <c r="V10" s="1530">
        <v>14</v>
      </c>
    </row>
    <row r="11" spans="1:22" ht="27.4" customHeight="1">
      <c r="C11" s="1439"/>
      <c r="D11" s="2371" t="s">
        <v>89</v>
      </c>
      <c r="E11" s="2415" t="s">
        <v>119</v>
      </c>
      <c r="F11" s="2452" t="s">
        <v>89</v>
      </c>
      <c r="G11" s="2453"/>
      <c r="H11" s="2435" t="s">
        <v>404</v>
      </c>
      <c r="I11" s="2435" t="s">
        <v>405</v>
      </c>
      <c r="J11" s="2415"/>
      <c r="V11" s="1530">
        <v>26</v>
      </c>
    </row>
    <row r="12" spans="1:22" ht="14.65" customHeight="1">
      <c r="C12" s="1439"/>
      <c r="D12" s="2371"/>
      <c r="E12" s="2415"/>
      <c r="F12" s="2457"/>
      <c r="G12" s="2458"/>
      <c r="H12" s="2485"/>
      <c r="I12" s="2485"/>
      <c r="J12" s="2415"/>
      <c r="V12" s="1530">
        <v>14</v>
      </c>
    </row>
    <row r="13" spans="1:22" s="1564" customFormat="1" ht="11.25" hidden="1" customHeight="1">
      <c r="C13" s="434"/>
      <c r="D13" s="435" t="s">
        <v>395</v>
      </c>
      <c r="E13" s="435"/>
      <c r="F13" s="435"/>
      <c r="G13" s="435"/>
      <c r="H13" s="433"/>
      <c r="I13" s="433"/>
      <c r="J13" s="371"/>
      <c r="L13" s="1537"/>
      <c r="M13" s="1537"/>
      <c r="N13" s="1537"/>
      <c r="O13" s="1537"/>
      <c r="P13" s="1537"/>
      <c r="Q13" s="1537"/>
      <c r="R13" s="1537"/>
      <c r="S13" s="1537"/>
      <c r="T13" s="1537"/>
      <c r="U13" s="1537"/>
      <c r="V13" s="432">
        <v>0</v>
      </c>
    </row>
    <row r="14" spans="1:22" ht="14.65" customHeight="1">
      <c r="A14" s="1530"/>
      <c r="C14" s="1439"/>
      <c r="D14" s="2486" t="s">
        <v>100</v>
      </c>
      <c r="E14" s="2488"/>
      <c r="F14" s="1540"/>
      <c r="G14" s="1539" t="s">
        <v>100</v>
      </c>
      <c r="H14" s="1546"/>
      <c r="I14" s="1544"/>
      <c r="J14" s="2429" t="s">
        <v>406</v>
      </c>
      <c r="K14" s="1530"/>
      <c r="R14" s="436" t="s">
        <v>400</v>
      </c>
      <c r="S14" s="436" t="s">
        <v>400</v>
      </c>
      <c r="V14" s="1530">
        <v>14</v>
      </c>
    </row>
    <row r="15" spans="1:22" ht="14.65" customHeight="1">
      <c r="A15" s="1530"/>
      <c r="C15" s="1439"/>
      <c r="D15" s="2487"/>
      <c r="E15" s="2489"/>
      <c r="F15" s="341"/>
      <c r="G15" s="798"/>
      <c r="H15" s="798" t="s">
        <v>402</v>
      </c>
      <c r="I15" s="250"/>
      <c r="J15" s="2430"/>
      <c r="K15" s="1530"/>
      <c r="R15" s="436"/>
      <c r="S15" s="436"/>
      <c r="V15" s="1530">
        <v>14</v>
      </c>
    </row>
    <row r="16" spans="1:22" ht="14.65" customHeight="1">
      <c r="A16" s="1530"/>
      <c r="C16" s="1439"/>
      <c r="D16" s="341"/>
      <c r="E16" s="798" t="s">
        <v>142</v>
      </c>
      <c r="F16" s="250"/>
      <c r="G16" s="250"/>
      <c r="H16" s="342"/>
      <c r="I16" s="342"/>
      <c r="J16" s="2431"/>
      <c r="K16" s="1530"/>
      <c r="V16" s="1530">
        <v>14</v>
      </c>
    </row>
    <row r="17" spans="1:22" ht="14.65" customHeight="1">
      <c r="K17" s="1530"/>
      <c r="V17" s="1530">
        <v>14</v>
      </c>
    </row>
    <row r="18" spans="1:22" ht="22.5" hidden="1" customHeight="1">
      <c r="A18" s="1531" t="s">
        <v>83</v>
      </c>
      <c r="B18" s="1530">
        <v>0</v>
      </c>
      <c r="C18" s="387">
        <v>3</v>
      </c>
      <c r="D18" s="1530">
        <v>5</v>
      </c>
      <c r="E18" s="1530">
        <v>38</v>
      </c>
      <c r="F18" s="1530">
        <v>3</v>
      </c>
      <c r="G18" s="1530">
        <v>3</v>
      </c>
      <c r="H18" s="1530">
        <v>38</v>
      </c>
      <c r="I18" s="1530">
        <v>35</v>
      </c>
      <c r="J18" s="1530">
        <v>103</v>
      </c>
      <c r="K18" s="1532">
        <v>3</v>
      </c>
      <c r="L18" s="1537">
        <v>10</v>
      </c>
      <c r="M18" s="1537">
        <v>10</v>
      </c>
      <c r="N18" s="1537">
        <v>10</v>
      </c>
      <c r="O18" s="1537">
        <v>13</v>
      </c>
      <c r="P18" s="1537">
        <v>15</v>
      </c>
      <c r="Q18" s="1537">
        <v>16</v>
      </c>
      <c r="R18" s="1537">
        <v>10</v>
      </c>
      <c r="S18" s="1537">
        <v>10</v>
      </c>
      <c r="T18" s="1537">
        <v>10</v>
      </c>
      <c r="U18" s="1537">
        <v>10</v>
      </c>
      <c r="V18" s="1530">
        <v>23</v>
      </c>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2260</vt:i4>
      </vt:variant>
    </vt:vector>
  </HeadingPairs>
  <TitlesOfParts>
    <vt:vector size="2349"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ТС. Т-подкл(инд)</vt:lpstr>
      <vt:lpstr>ХВС. Т-пит</vt:lpstr>
      <vt:lpstr>ХВС. Т-тех</vt:lpstr>
      <vt:lpstr>ХВС. Т-транс</vt:lpstr>
      <vt:lpstr>ХВС. Т-подвоз</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B_FHD_diff_5</vt:lpstr>
      <vt:lpstr>B_FHD_diff_51</vt:lpstr>
      <vt:lpstr>B_FHD_diff_511</vt:lpstr>
      <vt:lpstr>B_FHD_diff_51111</vt:lpstr>
      <vt:lpstr>B_FHD_diff_511111</vt:lpstr>
      <vt:lpstr>B_FHD_FLAG_DIFFERENTIATION</vt:lpstr>
      <vt:lpstr>B_FHD_FLAG_INDEX_1</vt:lpstr>
      <vt:lpstr>B_FHD_FLAG_INDEX_2</vt:lpstr>
      <vt:lpstr>B_FHD_TKO_DATA_TOP80_ACTIVITY</vt:lpstr>
      <vt:lpstr>B_FHD_TKO_diff_1</vt:lpstr>
      <vt:lpstr>B_FHD_TKO_diff_5</vt:lpstr>
      <vt:lpstr>B_FHD_TKO_diff_51</vt:lpstr>
      <vt:lpstr>B_FHD_TKO_diff_511</vt:lpstr>
      <vt:lpstr>B_FHD_TKO_diff_51111</vt:lpstr>
      <vt:lpstr>B_FHD_TKO_diff_511111</vt:lpstr>
      <vt:lpstr>B_FHD_TKO_FLAG_DIFFERENTIATION</vt:lpstr>
      <vt:lpstr>B_FHD_TKO_TRANS_DATA_TOP80_ACTIVITY</vt:lpstr>
      <vt:lpstr>B_FHD_TKO_TRANS_diff_1</vt:lpstr>
      <vt:lpstr>B_FHD_TKO_TRANS_diff_5</vt:lpstr>
      <vt:lpstr>B_FHD_TKO_TRANS_diff_51</vt:lpstr>
      <vt:lpstr>B_FHD_TKO_TRANS_diff_511</vt:lpstr>
      <vt:lpstr>B_FHD_TKO_TRANS_diff_51111</vt:lpstr>
      <vt:lpstr>B_FHD_TKO_TRANS_diff_511111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B_FHD20_diff_5</vt:lpstr>
      <vt:lpstr>B_FHD20_diff_51</vt:lpstr>
      <vt:lpstr>B_FHD20_diff_511</vt:lpstr>
      <vt:lpstr>B_FHD20_diff_51111</vt:lpstr>
      <vt:lpstr>B_FHD20_diff_511111</vt:lpstr>
      <vt:lpstr>B_FHD20_FLAG_FHD</vt:lpstr>
      <vt:lpstr>B_FHD20_NUMBER_COLUMN_MARKER</vt:lpstr>
      <vt:lpstr>B_FHD20_PART_COLUMN_MARKER</vt:lpstr>
      <vt:lpstr>B_KNE_diff_1</vt:lpstr>
      <vt:lpstr>B_KNE_diff_5</vt:lpstr>
      <vt:lpstr>B_KNE_diff_51</vt:lpstr>
      <vt:lpstr>B_KNE_diff_511</vt:lpstr>
      <vt:lpstr>B_KNE_diff_51111</vt:lpstr>
      <vt:lpstr>B_KNE_diff_511111</vt:lpstr>
      <vt:lpstr>B_OTEP_diff_1</vt:lpstr>
      <vt:lpstr>B_OTEP_diff_5</vt:lpstr>
      <vt:lpstr>B_OTEP_diff_51</vt:lpstr>
      <vt:lpstr>B_OTEP_diff_511</vt:lpstr>
      <vt:lpstr>B_OTEP_diff_51111</vt:lpstr>
      <vt:lpstr>B_OTEP_diff_511111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BLOCK_PRICE_TYPE</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IP_DETAILED_ip_5</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IP_FIN_PLAN_ip_5</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IP_MAIN_ip_5</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IP_QRE_ip_5</vt:lpstr>
      <vt:lpstr>IP_QRE_LIST_IP_ID</vt:lpstr>
      <vt:lpstr>IP_QRE_NUM_COLUMN_MARKER</vt:lpstr>
      <vt:lpstr>IP_QRE_OTKO_FEATURES_BLOCK</vt:lpstr>
      <vt:lpstr>IP_QRE_VOTV_FEATURES_BLOCK</vt:lpstr>
      <vt:lpstr>IP_QRE_VSNA_FEATURES_BLOCK</vt:lpstr>
      <vt:lpstr>IP_QRE_WARM_FEATURES_BLOCK</vt:lpstr>
      <vt:lpstr>isPrint</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kind_of_type_price</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Q_Limit_diff_5</vt:lpstr>
      <vt:lpstr>Q_Limit_diff_51</vt:lpstr>
      <vt:lpstr>Q_Limit_diff_511</vt:lpstr>
      <vt:lpstr>Q_Limit_diff_51111</vt:lpstr>
      <vt:lpstr>Q_Limit_diff_511111</vt:lpstr>
      <vt:lpstr>Q_LIMIT_p3</vt:lpstr>
      <vt:lpstr>Q_LIMIT_p4</vt:lpstr>
      <vt:lpstr>Q_PH_diff_1</vt:lpstr>
      <vt:lpstr>Q_PH_diff_5</vt:lpstr>
      <vt:lpstr>Q_PH_diff_51</vt:lpstr>
      <vt:lpstr>Q_PH_diff_511</vt:lpstr>
      <vt:lpstr>Q_PH_diff_51111</vt:lpstr>
      <vt:lpstr>Q_PH_diff_511111</vt:lpstr>
      <vt:lpstr>Q_TP_COUNT_REFUSAL</vt:lpstr>
      <vt:lpstr>Q_TP_diff_1</vt:lpstr>
      <vt:lpstr>Q_TP_diff_5</vt:lpstr>
      <vt:lpstr>Q_TP_diff_51</vt:lpstr>
      <vt:lpstr>Q_TP_diff_511</vt:lpstr>
      <vt:lpstr>Q_TP_diff_51111</vt:lpstr>
      <vt:lpstr>Q_TP_diff_511111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ter_5</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TITLE_PRICE_TYPE</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Васильева Екатерина Александровна</cp:lastModifiedBy>
  <cp:lastPrinted>2013-08-29T08:11:20Z</cp:lastPrinted>
  <dcterms:created xsi:type="dcterms:W3CDTF">2004-05-21T07:18:45Z</dcterms:created>
  <dcterms:modified xsi:type="dcterms:W3CDTF">2026-04-13T12:53:13Z</dcterms:modified>
</cp:coreProperties>
</file>